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Inputs" sheetId="1" state="visible" r:id="rId1"/>
    <sheet name="Monthly P&amp;L" sheetId="2" state="visible" r:id="rId2"/>
    <sheet name="Break-even" sheetId="3" state="visible" r:id="rId3"/>
    <sheet name="Notes &amp; sources" sheetId="4" state="visible" r:id="rId4"/>
  </sheets>
  <definedNames/>
  <calcPr calcId="124519" fullCalcOnLoad="1"/>
</workbook>
</file>

<file path=xl/styles.xml><?xml version="1.0" encoding="utf-8"?>
<styleSheet xmlns="http://schemas.openxmlformats.org/spreadsheetml/2006/main">
  <numFmts count="3">
    <numFmt numFmtId="164" formatCode="0.0%"/>
    <numFmt numFmtId="165" formatCode="#,##0.0"/>
    <numFmt numFmtId="166" formatCode="0.0"/>
  </numFmts>
  <fonts count="7">
    <font>
      <name val="Calibri"/>
      <family val="2"/>
      <color theme="1"/>
      <sz val="11"/>
      <scheme val="minor"/>
    </font>
    <font>
      <b val="1"/>
      <sz val="14"/>
    </font>
    <font>
      <b val="1"/>
      <color rgb="00FFFFFF"/>
    </font>
    <font>
      <b val="1"/>
    </font>
    <font>
      <color rgb="001D4ED8"/>
      <sz val="9"/>
      <u val="single"/>
    </font>
    <font>
      <i val="1"/>
      <color rgb="004B5563"/>
      <sz val="9"/>
    </font>
    <font/>
  </fonts>
  <fills count="7">
    <fill>
      <patternFill/>
    </fill>
    <fill>
      <patternFill patternType="gray125"/>
    </fill>
    <fill>
      <patternFill patternType="solid">
        <fgColor rgb="001F2937"/>
      </patternFill>
    </fill>
    <fill>
      <patternFill patternType="solid">
        <fgColor rgb="00E5E7EB"/>
      </patternFill>
    </fill>
    <fill>
      <patternFill patternType="solid">
        <fgColor rgb="00FFF2CC"/>
      </patternFill>
    </fill>
    <fill>
      <patternFill patternType="solid">
        <fgColor rgb="00F3F4F6"/>
      </patternFill>
    </fill>
    <fill>
      <patternFill patternType="solid">
        <fgColor rgb="00DBEAFE"/>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31">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2" borderId="1" applyAlignment="1" pivotButton="0" quotePrefix="0" xfId="0">
      <alignment vertical="center" wrapText="1"/>
    </xf>
    <xf numFmtId="0" fontId="3" fillId="3" borderId="0" pivotButton="0" quotePrefix="0" xfId="0"/>
    <xf numFmtId="0" fontId="0" fillId="3" borderId="0" pivotButton="0" quotePrefix="0" xfId="0"/>
    <xf numFmtId="3" fontId="0" fillId="4" borderId="1" pivotButton="0" quotePrefix="0" xfId="0"/>
    <xf numFmtId="0" fontId="4" fillId="0" borderId="0" applyAlignment="1" pivotButton="0" quotePrefix="0" xfId="0">
      <alignment vertical="top" wrapText="1"/>
    </xf>
    <xf numFmtId="2" fontId="0" fillId="4" borderId="1" pivotButton="0" quotePrefix="0" xfId="0"/>
    <xf numFmtId="164" fontId="0" fillId="4" borderId="1" pivotButton="0" quotePrefix="0" xfId="0"/>
    <xf numFmtId="49" fontId="0" fillId="4" borderId="1" pivotButton="0" quotePrefix="0" xfId="0"/>
    <xf numFmtId="4" fontId="0" fillId="4" borderId="1" pivotButton="0" quotePrefix="0" xfId="0"/>
    <xf numFmtId="10" fontId="0" fillId="4" borderId="1" pivotButton="0" quotePrefix="0" xfId="0"/>
    <xf numFmtId="0" fontId="0" fillId="4" borderId="1" pivotButton="0" quotePrefix="0" xfId="0"/>
    <xf numFmtId="2" fontId="3" fillId="0" borderId="1" pivotButton="0" quotePrefix="0" xfId="0"/>
    <xf numFmtId="9" fontId="0" fillId="4" borderId="1" pivotButton="0" quotePrefix="0" xfId="0"/>
    <xf numFmtId="9" fontId="3" fillId="0" borderId="1" pivotButton="0" quotePrefix="0" xfId="0"/>
    <xf numFmtId="3" fontId="0" fillId="5" borderId="1" pivotButton="0" quotePrefix="0" xfId="0"/>
    <xf numFmtId="3" fontId="3" fillId="0" borderId="1" pivotButton="0" quotePrefix="0" xfId="0"/>
    <xf numFmtId="0" fontId="3" fillId="0" borderId="0" pivotButton="0" quotePrefix="0" xfId="0"/>
    <xf numFmtId="3" fontId="0" fillId="6" borderId="1" pivotButton="0" quotePrefix="0" xfId="0"/>
    <xf numFmtId="0" fontId="5" fillId="0" borderId="0" pivotButton="0" quotePrefix="0" xfId="0"/>
    <xf numFmtId="0" fontId="6" fillId="0" borderId="0" pivotButton="0" quotePrefix="0" xfId="0"/>
    <xf numFmtId="164" fontId="0" fillId="5" borderId="1" pivotButton="0" quotePrefix="0" xfId="0"/>
    <xf numFmtId="4" fontId="0" fillId="5" borderId="1" pivotButton="0" quotePrefix="0" xfId="0"/>
    <xf numFmtId="4" fontId="0" fillId="6" borderId="1" pivotButton="0" quotePrefix="0" xfId="0"/>
    <xf numFmtId="165" fontId="0" fillId="5" borderId="1" pivotButton="0" quotePrefix="0" xfId="0"/>
    <xf numFmtId="164" fontId="0" fillId="6" borderId="1" pivotButton="0" quotePrefix="0" xfId="0"/>
    <xf numFmtId="166" fontId="0" fillId="5" borderId="1" pivotButton="0" quotePrefix="0" xfId="0"/>
    <xf numFmtId="9" fontId="3" fillId="3" borderId="0" pivotButton="0" quotePrefix="0" xfId="0"/>
    <xf numFmtId="9" fontId="3" fillId="3" borderId="0" applyAlignment="1" pivotButton="0" quotePrefix="0" xfId="0">
      <alignment horizontal="righ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sec.gov/Archives/edgar/data/1411579/000104746914001769/a2218535z10-k.htm" TargetMode="External" Id="rId1" /><Relationship Type="http://schemas.openxmlformats.org/officeDocument/2006/relationships/hyperlink" Target="https://filmgrail.com/blog/cinema-business-plan/" TargetMode="External" Id="rId2" /><Relationship Type="http://schemas.openxmlformats.org/officeDocument/2006/relationships/hyperlink" Target="https://www.sec.gov/Archives/edgar/data/1385280/000119312526056015/cnk-20251231.htm" TargetMode="External" Id="rId3" /><Relationship Type="http://schemas.openxmlformats.org/officeDocument/2006/relationships/hyperlink" Target="https://www.sec.gov/Archives/edgar/data/1411579/000141157926000016/amc-20251231x10k.htm" TargetMode="External" Id="rId4" /><Relationship Type="http://schemas.openxmlformats.org/officeDocument/2006/relationships/hyperlink" Target="https://www.sec.gov/Archives/edgar/data/1411579/000141157926000016/amc-20251231x10k.htm" TargetMode="External" Id="rId5" /><Relationship Type="http://schemas.openxmlformats.org/officeDocument/2006/relationships/hyperlink" Target="https://www.sec.gov/Archives/edgar/data/1411579/000141157926000016/amc-20251231x10k.htm" TargetMode="External" Id="rId6" /><Relationship Type="http://schemas.openxmlformats.org/officeDocument/2006/relationships/hyperlink" Target="https://cinemaunited.org/wp-content/uploads/2025/09/Cinema-United-Cinema-Investment-Report-September-16-2025.pdf" TargetMode="External" Id="rId7" /><Relationship Type="http://schemas.openxmlformats.org/officeDocument/2006/relationships/hyperlink" Target="https://www.find-tender.service.gov.uk/Notice/048421-2025" TargetMode="External" Id="rId8" /><Relationship Type="http://schemas.openxmlformats.org/officeDocument/2006/relationships/hyperlink" Target="https://cinemaunited.org/wp-content/uploads/2025/09/Cinema-United-Cinema-Investment-Report-September-16-2025.pdf" TargetMode="External" Id="rId9" /><Relationship Type="http://schemas.openxmlformats.org/officeDocument/2006/relationships/hyperlink" Target="https://cinemaunited.org/wp-content/uploads/2025/09/Cinema-United-Cinema-Investment-Report-September-16-2025.pdf" TargetMode="External" Id="rId10" /><Relationship Type="http://schemas.openxmlformats.org/officeDocument/2006/relationships/hyperlink" Target="https://procurement.maricopa.edu/sites/default/files/purchasing/vendor_documents/R191805_Contract%20Document%20%285%29.pdf" TargetMode="External" Id="rId11" /><Relationship Type="http://schemas.openxmlformats.org/officeDocument/2006/relationships/hyperlink" Target="https://cinemaunited.org/wp-content/uploads/2025/09/Cinema-United-Cinema-Investment-Report-September-16-2025.pdf" TargetMode="External" Id="rId12" /><Relationship Type="http://schemas.openxmlformats.org/officeDocument/2006/relationships/hyperlink" Target="https://www.knowsleynews.co.uk/kirkby-cinema-scheme-paused/" TargetMode="External" Id="rId13" /></Relationships>
</file>

<file path=xl/worksheets/_rels/sheet4.xml.rels><Relationships xmlns="http://schemas.openxmlformats.org/package/2006/relationships"><Relationship Type="http://schemas.openxmlformats.org/officeDocument/2006/relationships/hyperlink" Target="https://www.sec.gov/Archives/edgar/data/1411579/000141157926000016/amc-20251231x10k.htm" TargetMode="External" Id="rId1" /><Relationship Type="http://schemas.openxmlformats.org/officeDocument/2006/relationships/hyperlink" Target="https://www.sec.gov/Archives/edgar/data/1385280/000119312526056015/cnk-20251231.htm" TargetMode="External" Id="rId2" /><Relationship Type="http://schemas.openxmlformats.org/officeDocument/2006/relationships/hyperlink" Target="https://www.sec.gov/Archives/edgar/data/1411579/000104746914001769/a2218535z10-k.htm" TargetMode="External" Id="rId3" /><Relationship Type="http://schemas.openxmlformats.org/officeDocument/2006/relationships/hyperlink" Target="https://cinemaunited.org/wp-content/uploads/2025/09/Cinema-United-Cinema-Investment-Report-September-16-2025.pdf" TargetMode="External" Id="rId4" /><Relationship Type="http://schemas.openxmlformats.org/officeDocument/2006/relationships/hyperlink" Target="https://www.find-tender.service.gov.uk/Notice/048421-2025" TargetMode="External" Id="rId5" /><Relationship Type="http://schemas.openxmlformats.org/officeDocument/2006/relationships/hyperlink" Target="https://app.mercell.com/tender/208433156/4K-Cinema-Projector" TargetMode="External" Id="rId6" /><Relationship Type="http://schemas.openxmlformats.org/officeDocument/2006/relationships/hyperlink" Target="https://procurement.maricopa.edu/sites/default/files/purchasing/vendor_documents/R191805_Contract%20Document%20%285%29.pdf" TargetMode="External" Id="rId7" /><Relationship Type="http://schemas.openxmlformats.org/officeDocument/2006/relationships/hyperlink" Target="https://www.knowsleynews.co.uk/kirkby-cinema-scheme-paused/" TargetMode="External" Id="rId8" /><Relationship Type="http://schemas.openxmlformats.org/officeDocument/2006/relationships/hyperlink" Target="https://www.placenorthwest.co.uk/knowsley-halts-kirkby-cinema-project-over-rising-costs/" TargetMode="External" Id="rId9" /><Relationship Type="http://schemas.openxmlformats.org/officeDocument/2006/relationships/hyperlink" Target="https://filmgrail.com/blog/cinema-business-plan/" TargetMode="External" Id="rId10" /><Relationship Type="http://schemas.openxmlformats.org/officeDocument/2006/relationships/hyperlink" Target="https://filmgrail.com/blog/cost-to-open-a-movie-theater/" TargetMode="External" Id="rId11" /></Relationships>
</file>

<file path=xl/worksheets/sheet1.xml><?xml version="1.0" encoding="utf-8"?>
<worksheet xmlns="http://schemas.openxmlformats.org/spreadsheetml/2006/main">
  <sheetPr>
    <outlinePr summaryBelow="1" summaryRight="1"/>
    <pageSetUpPr fitToPage="1"/>
  </sheetPr>
  <dimension ref="A1:F61"/>
  <sheetViews>
    <sheetView zoomScale="100"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16" customWidth="1" min="2" max="2"/>
    <col width="14" customWidth="1" min="3" max="3"/>
    <col width="60" customWidth="1" min="4" max="4"/>
    <col width="62" customWidth="1" min="5" max="5"/>
    <col width="48" customWidth="1" min="6" max="6"/>
  </cols>
  <sheetData>
    <row r="1">
      <c r="A1" s="1" t="inlineStr">
        <is>
          <t>Cinema business plan template: Inputs</t>
        </is>
      </c>
    </row>
    <row r="2" ht="45" customHeight="1">
      <c r="A2" s="2" t="inlineStr">
        <is>
          <t>Fill every yellow cell in your own currency (no currency symbols needed). Every other sheet calculates from here. Benchmarks are public figures for context only: they come from large chains, public tenders and a trade body, in other currencies and markets. Replace them with your own local quotes.</t>
        </is>
      </c>
    </row>
    <row r="4">
      <c r="A4" s="3" t="inlineStr">
        <is>
          <t>Input</t>
        </is>
      </c>
      <c r="B4" s="3" t="inlineStr">
        <is>
          <t>Your value</t>
        </is>
      </c>
      <c r="C4" s="3" t="inlineStr">
        <is>
          <t>Unit</t>
        </is>
      </c>
      <c r="D4" s="3" t="inlineStr">
        <is>
          <t>What to enter</t>
        </is>
      </c>
      <c r="E4" s="3" t="inlineStr">
        <is>
          <t>Public benchmark (context, not a target)</t>
        </is>
      </c>
      <c r="F4" s="3" t="inlineStr">
        <is>
          <t>Source</t>
        </is>
      </c>
    </row>
    <row r="5">
      <c r="A5" s="4" t="inlineStr">
        <is>
          <t>1. Site and programming</t>
        </is>
      </c>
      <c r="B5" s="5" t="n"/>
      <c r="C5" s="5" t="n"/>
      <c r="D5" s="5" t="n"/>
      <c r="E5" s="5" t="n"/>
      <c r="F5" s="5" t="n"/>
    </row>
    <row r="6">
      <c r="A6" s="2" t="inlineStr">
        <is>
          <t>Number of screens</t>
        </is>
      </c>
      <c r="B6" s="6" t="n"/>
      <c r="C6" s="2" t="inlineStr">
        <is>
          <t>screens</t>
        </is>
      </c>
      <c r="D6" s="2" t="inlineStr">
        <is>
          <t>Auditoria you will programme. Size this from what the catchment supports, not from what the building fits.</t>
        </is>
      </c>
      <c r="E6" s="2" t="n"/>
      <c r="F6" s="2" t="n"/>
    </row>
    <row r="7">
      <c r="A7" s="2" t="inlineStr">
        <is>
          <t>Average seats per screen</t>
        </is>
      </c>
      <c r="B7" s="6" t="n"/>
      <c r="C7" s="2" t="inlineStr">
        <is>
          <t>seats</t>
        </is>
      </c>
      <c r="D7" s="2" t="inlineStr">
        <is>
          <t>Total seats divided by screens, from the final seat plan. Recliners cut capacity sharply, so model both layouts if undecided.</t>
        </is>
      </c>
      <c r="E7" s="2" t="inlineStr">
        <is>
          <t>AMC's 2013 annual report said its full recliner renovations typically lost 64% of seating capacity.</t>
        </is>
      </c>
      <c r="F7" s="7" t="inlineStr">
        <is>
          <t>https://www.sec.gov/Archives/edgar/data/1411579/000104746914001769/a2218535z10-k.htm</t>
        </is>
      </c>
    </row>
    <row r="8">
      <c r="A8" s="2" t="inlineStr">
        <is>
          <t>Operating days per year</t>
        </is>
      </c>
      <c r="B8" s="6" t="n"/>
      <c r="C8" s="2" t="inlineStr">
        <is>
          <t>days</t>
        </is>
      </c>
      <c r="D8" s="2" t="inlineStr">
        <is>
          <t>Days open to the public. Exclude planned closures.</t>
        </is>
      </c>
      <c r="E8" s="2" t="n"/>
      <c r="F8" s="2" t="n"/>
    </row>
    <row r="9">
      <c r="A9" s="2" t="inlineStr">
        <is>
          <t>Shows per screen per day</t>
        </is>
      </c>
      <c r="B9" s="8" t="n"/>
      <c r="C9" s="2" t="inlineStr">
        <is>
          <t>shows</t>
        </is>
      </c>
      <c r="D9" s="2" t="inlineStr">
        <is>
          <t>Average across the whole week, including weekday matinees and late shows.</t>
        </is>
      </c>
      <c r="E9" s="2" t="n"/>
      <c r="F9" s="2" t="n"/>
    </row>
    <row r="10">
      <c r="A10" s="2" t="inlineStr">
        <is>
          <t>Average annual occupancy</t>
        </is>
      </c>
      <c r="B10" s="9" t="n"/>
      <c r="C10" s="2" t="inlineStr">
        <is>
          <t>%</t>
        </is>
      </c>
      <c r="D10" s="2" t="inlineStr">
        <is>
          <t>Admissions divided by seats available, averaged over the whole year. Drives the capacity forecast and the cross-check on the Break-even sheet. Type it with a % sign.</t>
        </is>
      </c>
      <c r="E10" s="2" t="inlineStr">
        <is>
          <t>No reliable public benchmark. Filmgrail's business-plan guide: if your forecast implies an annual average well above the high teens or low twenties per cent, re-check it.</t>
        </is>
      </c>
      <c r="F10" s="7" t="inlineStr">
        <is>
          <t>https://filmgrail.com/blog/cinema-business-plan/</t>
        </is>
      </c>
    </row>
    <row r="12">
      <c r="A12" s="4" t="inlineStr">
        <is>
          <t>2. Admissions from the catchment (preferred method)</t>
        </is>
      </c>
      <c r="B12" s="5" t="n"/>
      <c r="C12" s="5" t="n"/>
      <c r="D12" s="5" t="n"/>
      <c r="E12" s="5" t="n"/>
      <c r="F12" s="5" t="n"/>
    </row>
    <row r="13">
      <c r="A13" s="2" t="inlineStr">
        <is>
          <t>Population within a realistic travel time</t>
        </is>
      </c>
      <c r="B13" s="6" t="n"/>
      <c r="C13" s="2" t="inlineStr">
        <is>
          <t>people</t>
        </is>
      </c>
      <c r="D13" s="2" t="inlineStr">
        <is>
          <t>From the census or national statistics office, for the drive- or travel-time area you expect customers to come from.</t>
        </is>
      </c>
      <c r="E13" s="2" t="n"/>
      <c r="F13" s="2" t="n"/>
    </row>
    <row r="14">
      <c r="A14" s="2" t="inlineStr">
        <is>
          <t>National admissions per person per year</t>
        </is>
      </c>
      <c r="B14" s="8" t="n"/>
      <c r="C14" s="2" t="inlineStr">
        <is>
          <t>visits</t>
        </is>
      </c>
      <c r="D14" s="2" t="inlineStr">
        <is>
          <t>National annual admissions divided by national population, from your national film agency, statistics office or exhibitors' association. Use the latest full year and state the source in your plan.</t>
        </is>
      </c>
      <c r="E14" s="2" t="n"/>
      <c r="F14" s="2" t="n"/>
    </row>
    <row r="15">
      <c r="A15" s="2" t="inlineStr">
        <is>
          <t>Annual admissions already taken by competing cinemas</t>
        </is>
      </c>
      <c r="B15" s="6" t="n"/>
      <c r="C15" s="2" t="inlineStr">
        <is>
          <t>admissions</t>
        </is>
      </c>
      <c r="D15" s="2" t="inlineStr">
        <is>
          <t>Your estimate for existing sites inside the same catchment. Put the method in the plan appendix.</t>
        </is>
      </c>
      <c r="E15" s="2" t="n"/>
      <c r="F15" s="2" t="n"/>
    </row>
    <row r="16">
      <c r="A16" s="2" t="inlineStr">
        <is>
          <t>Your share of the remaining pool</t>
        </is>
      </c>
      <c r="B16" s="9" t="n"/>
      <c r="C16" s="2" t="inlineStr">
        <is>
          <t>%</t>
        </is>
      </c>
      <c r="D16" s="2" t="inlineStr">
        <is>
          <t>The share of the catchment's remaining cinema-going you can defend. Type it with a % sign.</t>
        </is>
      </c>
      <c r="E16" s="2" t="n"/>
      <c r="F16" s="2" t="n"/>
    </row>
    <row r="17">
      <c r="A17" s="2" t="inlineStr">
        <is>
          <t>Admissions forecast that drives the P&amp;L</t>
        </is>
      </c>
      <c r="B17" s="10" t="n"/>
      <c r="C17" s="2" t="inlineStr">
        <is>
          <t>text</t>
        </is>
      </c>
      <c r="D17" s="2" t="inlineStr">
        <is>
          <t>Type catchment or capacity. If left blank the model uses the catchment forecast when section 2 is filled, otherwise the capacity forecast.</t>
        </is>
      </c>
      <c r="E17" s="2" t="n"/>
      <c r="F17" s="2" t="n"/>
    </row>
    <row r="19">
      <c r="A19" s="4" t="inlineStr">
        <is>
          <t>3. Revenue per admission</t>
        </is>
      </c>
      <c r="B19" s="5" t="n"/>
      <c r="C19" s="5" t="n"/>
      <c r="D19" s="5" t="n"/>
      <c r="E19" s="5" t="n"/>
      <c r="F19" s="5" t="n"/>
    </row>
    <row r="20">
      <c r="A20" s="2" t="inlineStr">
        <is>
          <t>Average ticket price, net of sales tax / VAT</t>
        </is>
      </c>
      <c r="B20" s="11" t="n"/>
      <c r="C20" s="2" t="inlineStr">
        <is>
          <t>currency</t>
        </is>
      </c>
      <c r="D20" s="2" t="inlineStr">
        <is>
          <t>Box office revenue divided by admissions after discounts, child and senior prices, memberships and tax. Not the headline adult price.</t>
        </is>
      </c>
      <c r="E20" s="2" t="inlineStr">
        <is>
          <t>Cinemark US, 2025: average ticket price $10.52 (10-K). A large US chain with premium formats: context, not a target.</t>
        </is>
      </c>
      <c r="F20" s="7" t="inlineStr">
        <is>
          <t>https://www.sec.gov/Archives/edgar/data/1385280/000119312526056015/cnk-20251231.htm</t>
        </is>
      </c>
    </row>
    <row r="21">
      <c r="A21" s="2" t="inlineStr">
        <is>
          <t>Concession spend per head, net of tax</t>
        </is>
      </c>
      <c r="B21" s="11" t="n"/>
      <c r="C21" s="2" t="inlineStr">
        <is>
          <t>currency</t>
        </is>
      </c>
      <c r="D21" s="2" t="inlineStr">
        <is>
          <t>Food and drink revenue divided by all admissions (not just buyers).</t>
        </is>
      </c>
      <c r="E21" s="2" t="inlineStr">
        <is>
          <t>2025 concession spend per patron: AMC US $8.57; Cinemark US $8.30; AMC international $5.28; Cinemark international $3.15 (as reported). Context, not a target.</t>
        </is>
      </c>
      <c r="F21" s="7" t="inlineStr">
        <is>
          <t>https://www.sec.gov/Archives/edgar/data/1411579/000141157926000016/amc-20251231x10k.htm
https://www.sec.gov/Archives/edgar/data/1385280/000119312526056015/cnk-20251231.htm</t>
        </is>
      </c>
    </row>
    <row r="22">
      <c r="A22" s="2" t="inlineStr">
        <is>
          <t>Other revenue per month</t>
        </is>
      </c>
      <c r="B22" s="6" t="n"/>
      <c r="C22" s="2" t="inlineStr">
        <is>
          <t>currency / month</t>
        </is>
      </c>
      <c r="D22" s="2" t="inlineStr">
        <is>
          <t>Screen advertising, private hire, events, booking fees you keep. Leave blank if none.</t>
        </is>
      </c>
      <c r="E22" s="2" t="n"/>
      <c r="F22" s="2" t="n"/>
    </row>
    <row r="24">
      <c r="A24" s="4" t="inlineStr">
        <is>
          <t>4. Variable costs</t>
        </is>
      </c>
      <c r="B24" s="5" t="n"/>
      <c r="C24" s="5" t="n"/>
      <c r="D24" s="5" t="n"/>
      <c r="E24" s="5" t="n"/>
      <c r="F24" s="5" t="n"/>
    </row>
    <row r="25">
      <c r="A25" s="2" t="inlineStr">
        <is>
          <t>Film rental, % of box office</t>
        </is>
      </c>
      <c r="B25" s="9" t="n"/>
      <c r="C25" s="2" t="inlineStr">
        <is>
          <t>%</t>
        </is>
      </c>
      <c r="D25" s="2" t="inlineStr">
        <is>
          <t>A blended rate across the year. Rental is highest in a title's opening weeks, which are also your busiest, so do not use the lowest rate you are offered. Type it with a % sign.</t>
        </is>
      </c>
      <c r="E25" s="2" t="inlineStr">
        <is>
          <t>2025: AMC US film exhibition costs 51.2% of admissions revenue (AMC total 48.1%); Cinemark US film rentals and advertising 58.0% of admissions revenue.</t>
        </is>
      </c>
      <c r="F25" s="7" t="inlineStr">
        <is>
          <t>https://www.sec.gov/Archives/edgar/data/1411579/000141157926000016/amc-20251231x10k.htm
https://www.sec.gov/Archives/edgar/data/1385280/000119312526056015/cnk-20251231.htm</t>
        </is>
      </c>
    </row>
    <row r="26">
      <c r="A26" s="2" t="inlineStr">
        <is>
          <t>Concession cost of goods, % of concession revenue</t>
        </is>
      </c>
      <c r="B26" s="9" t="n"/>
      <c r="C26" s="2" t="inlineStr">
        <is>
          <t>%</t>
        </is>
      </c>
      <c r="D26" s="2" t="inlineStr">
        <is>
          <t>Product cost only. Staff, space and equipment sit in fixed costs. Type it with a % sign.</t>
        </is>
      </c>
      <c r="E26" s="2" t="inlineStr">
        <is>
          <t>2025: AMC US food and beverage costs 18.1% of F&amp;B revenue (AMC total 19.6%); Cinemark US concession supplies 18.9% of concession revenue.</t>
        </is>
      </c>
      <c r="F26" s="7" t="inlineStr">
        <is>
          <t>https://www.sec.gov/Archives/edgar/data/1411579/000141157926000016/amc-20251231x10k.htm
https://www.sec.gov/Archives/edgar/data/1385280/000119312526056015/cnk-20251231.htm</t>
        </is>
      </c>
    </row>
    <row r="27">
      <c r="A27" s="2" t="inlineStr">
        <is>
          <t>Ticketing fee you pay per admission</t>
        </is>
      </c>
      <c r="B27" s="11" t="n"/>
      <c r="C27" s="2" t="inlineStr">
        <is>
          <t>currency / ticket</t>
        </is>
      </c>
      <c r="D27" s="2" t="inlineStr">
        <is>
          <t>Any per-ticket charge from your ticketing provider. Use the written quote. Leave blank if your software is a flat fee.</t>
        </is>
      </c>
      <c r="E27" s="2" t="n"/>
      <c r="F27" s="2" t="n"/>
    </row>
    <row r="28">
      <c r="A28" s="2" t="inlineStr">
        <is>
          <t>Card processing, % of revenue</t>
        </is>
      </c>
      <c r="B28" s="9" t="n"/>
      <c r="C28" s="2" t="inlineStr">
        <is>
          <t>%</t>
        </is>
      </c>
      <c r="D28" s="2" t="inlineStr">
        <is>
          <t>Blended acquiring rate from your payment provider's quote, applied to all revenue. Type it with a % sign.</t>
        </is>
      </c>
      <c r="E28" s="2" t="n"/>
      <c r="F28" s="2" t="n"/>
    </row>
    <row r="30">
      <c r="A30" s="4" t="inlineStr">
        <is>
          <t>5. Fixed operating costs (per month)</t>
        </is>
      </c>
      <c r="B30" s="5" t="n"/>
      <c r="C30" s="5" t="n"/>
      <c r="D30" s="5" t="n"/>
      <c r="E30" s="5" t="n"/>
      <c r="F30" s="5" t="n"/>
    </row>
    <row r="31">
      <c r="A31" s="2" t="inlineStr">
        <is>
          <t>Staff costs</t>
        </is>
      </c>
      <c r="B31" s="6" t="n"/>
      <c r="C31" s="2" t="inlineStr">
        <is>
          <t>currency / month</t>
        </is>
      </c>
      <c r="D31" s="2" t="inlineStr">
        <is>
          <t>Driven by opening hours and show count, not admissions. Include employer taxes, holiday pay and benefits.</t>
        </is>
      </c>
      <c r="E31" s="2" t="n"/>
      <c r="F31" s="2" t="n"/>
    </row>
    <row r="32">
      <c r="A32" s="2" t="inlineStr">
        <is>
          <t>Rent, service charge and property taxes</t>
        </is>
      </c>
      <c r="B32" s="6" t="n"/>
      <c r="C32" s="2" t="inlineStr">
        <is>
          <t>currency / month</t>
        </is>
      </c>
      <c r="D32" s="2" t="inlineStr">
        <is>
          <t>From the lease heads of terms. Include business rates or property tax and any service charge.</t>
        </is>
      </c>
      <c r="E32" s="2" t="n"/>
      <c r="F32" s="2" t="n"/>
    </row>
    <row r="33">
      <c r="A33" s="2" t="inlineStr">
        <is>
          <t>Utilities</t>
        </is>
      </c>
      <c r="B33" s="6" t="n"/>
      <c r="C33" s="2" t="inlineStr">
        <is>
          <t>currency / month</t>
        </is>
      </c>
      <c r="D33" s="2" t="inlineStr">
        <is>
          <t>Projection, HVAC and refrigeration make cinemas energy-intensive. Use a current tariff quote, not historic bills.</t>
        </is>
      </c>
      <c r="E33" s="2" t="n"/>
      <c r="F33" s="2" t="n"/>
    </row>
    <row r="34">
      <c r="A34" s="2" t="inlineStr">
        <is>
          <t>Marketing</t>
        </is>
      </c>
      <c r="B34" s="6" t="n"/>
      <c r="C34" s="2" t="inlineStr">
        <is>
          <t>currency / month</t>
        </is>
      </c>
      <c r="D34" s="2" t="inlineStr">
        <is>
          <t>Ongoing marketing after launch. Launch spend goes in capital costs below.</t>
        </is>
      </c>
      <c r="E34" s="2" t="n"/>
      <c r="F34" s="2" t="n"/>
    </row>
    <row r="35">
      <c r="A35" s="2" t="inlineStr">
        <is>
          <t>Software and ticketing (fixed monthly part)</t>
        </is>
      </c>
      <c r="B35" s="6" t="n"/>
      <c r="C35" s="2" t="inlineStr">
        <is>
          <t>currency / month</t>
        </is>
      </c>
      <c r="D35" s="2" t="inlineStr">
        <is>
          <t>Ticketing, website and app, point of sale, subscriptions. Per-ticket fees go in section 4.</t>
        </is>
      </c>
      <c r="E35" s="2" t="n"/>
      <c r="F35" s="2" t="n"/>
    </row>
    <row r="36">
      <c r="A36" s="2" t="inlineStr">
        <is>
          <t>Insurance, maintenance, licences and other fixed costs</t>
        </is>
      </c>
      <c r="B36" s="6" t="n"/>
      <c r="C36" s="2" t="inlineStr">
        <is>
          <t>currency / month</t>
        </is>
      </c>
      <c r="D36" s="2" t="inlineStr">
        <is>
          <t>Insurance, maintenance contracts, licences, cleaning, and a sinking fund for equipment replacement.</t>
        </is>
      </c>
      <c r="E36" s="2" t="n"/>
      <c r="F36" s="2" t="n"/>
    </row>
    <row r="38">
      <c r="A38" s="4" t="inlineStr">
        <is>
          <t>6. Funding and loan</t>
        </is>
      </c>
      <c r="B38" s="5" t="n"/>
      <c r="C38" s="5" t="n"/>
      <c r="D38" s="5" t="n"/>
      <c r="E38" s="5" t="n"/>
      <c r="F38" s="5" t="n"/>
    </row>
    <row r="39">
      <c r="A39" s="2" t="inlineStr">
        <is>
          <t>Owner equity, grants and other non-loan funding</t>
        </is>
      </c>
      <c r="B39" s="6" t="n"/>
      <c r="C39" s="2" t="inlineStr">
        <is>
          <t>currency</t>
        </is>
      </c>
      <c r="D39" s="2" t="inlineStr">
        <is>
          <t>Cash going in that is not repaid as a loan.</t>
        </is>
      </c>
      <c r="E39" s="2" t="n"/>
      <c r="F39" s="2" t="n"/>
    </row>
    <row r="40">
      <c r="A40" s="2" t="inlineStr">
        <is>
          <t>Loan amount</t>
        </is>
      </c>
      <c r="B40" s="6" t="n"/>
      <c r="C40" s="2" t="inlineStr">
        <is>
          <t>currency</t>
        </is>
      </c>
      <c r="D40" s="2" t="inlineStr">
        <is>
          <t>Principal borrowed.</t>
        </is>
      </c>
      <c r="E40" s="2" t="n"/>
      <c r="F40" s="2" t="n"/>
    </row>
    <row r="41">
      <c r="A41" s="2" t="inlineStr">
        <is>
          <t>Loan interest rate (annual)</t>
        </is>
      </c>
      <c r="B41" s="12" t="n"/>
      <c r="C41" s="2" t="inlineStr">
        <is>
          <t>%</t>
        </is>
      </c>
      <c r="D41" s="2" t="inlineStr">
        <is>
          <t>From the lender's offer. Type it with a % sign.</t>
        </is>
      </c>
      <c r="E41" s="2" t="n"/>
      <c r="F41" s="2" t="n"/>
    </row>
    <row r="42">
      <c r="A42" s="2" t="inlineStr">
        <is>
          <t>Loan term</t>
        </is>
      </c>
      <c r="B42" s="6" t="n"/>
      <c r="C42" s="2" t="inlineStr">
        <is>
          <t>years</t>
        </is>
      </c>
      <c r="D42" s="2" t="inlineStr">
        <is>
          <t>Repayment term in years.</t>
        </is>
      </c>
      <c r="E42" s="2" t="n"/>
      <c r="F42" s="2" t="n"/>
    </row>
    <row r="44">
      <c r="A44" s="4" t="inlineStr">
        <is>
          <t>7. Capital costs (one-off, whole site)</t>
        </is>
      </c>
      <c r="B44" s="5" t="n"/>
      <c r="C44" s="5" t="n"/>
      <c r="D44" s="5" t="n"/>
      <c r="E44" s="5" t="n"/>
      <c r="F44" s="5" t="n"/>
    </row>
    <row r="45">
      <c r="A45" s="2" t="inlineStr">
        <is>
          <t>Property purchase, lease premium or deposit</t>
        </is>
      </c>
      <c r="B45" s="6" t="n"/>
      <c r="C45" s="2" t="inlineStr">
        <is>
          <t>currency</t>
        </is>
      </c>
      <c r="D45" s="2" t="inlineStr">
        <is>
          <t>Whatever you pay to secure the site before trading.</t>
        </is>
      </c>
      <c r="E45" s="2" t="n"/>
      <c r="F45" s="2" t="n"/>
    </row>
    <row r="46">
      <c r="A46" s="2" t="inlineStr">
        <is>
          <t>Construction and fit-out</t>
        </is>
      </c>
      <c r="B46" s="6" t="n"/>
      <c r="C46" s="2" t="inlineStr">
        <is>
          <t>currency</t>
        </is>
      </c>
      <c r="D46" s="2" t="inlineStr">
        <is>
          <t>Structure, raked floors, finishes, toilets, front of house, fire and accessibility work. Get a quote from a contractor who has built an assembly-use building.</t>
        </is>
      </c>
      <c r="E46" s="2" t="inlineStr">
        <is>
          <t>Cinema United (Sept 2025): $40M-$50M to build a multi-screen cinema entertainment centre from the ground up; B&amp;B Theatres' new 7-screen Joplin, Mo. site cost $20M to build and open. Kirkby, UK: a council six-screen scheme was paused in Oct 2022 after costs rose by up to GBP 5m, 'almost double the original cost'.</t>
        </is>
      </c>
      <c r="F46" s="7" t="inlineStr">
        <is>
          <t>https://cinemaunited.org/wp-content/uploads/2025/09/Cinema-United-Cinema-Investment-Report-September-16-2025.pdf
https://www.knowsleynews.co.uk/kirkby-cinema-scheme-paused/
https://www.placenorthwest.co.uk/knowsley-halts-kirkby-cinema-project-over-rising-costs/</t>
        </is>
      </c>
    </row>
    <row r="47">
      <c r="A47" s="2" t="inlineStr">
        <is>
          <t>Acoustic isolation and HVAC</t>
        </is>
      </c>
      <c r="B47" s="6" t="n"/>
      <c r="C47" s="2" t="inlineStr">
        <is>
          <t>currency</t>
        </is>
      </c>
      <c r="D47" s="2" t="inlineStr">
        <is>
          <t>The two lines most often under-budgeted: neither is visible in the finished room and both are expensive to retrofit.</t>
        </is>
      </c>
      <c r="E47" s="2" t="n"/>
      <c r="F47" s="2" t="n"/>
    </row>
    <row r="48">
      <c r="A48" s="2" t="inlineStr">
        <is>
          <t>Projection and servers (all screens)</t>
        </is>
      </c>
      <c r="B48" s="6" t="n"/>
      <c r="C48" s="2" t="inlineStr">
        <is>
          <t>currency</t>
        </is>
      </c>
      <c r="D48" s="2" t="inlineStr">
        <is>
          <t>Three supplier quotes for your screen sizes. Check whether lens, server, installation and booth are included.</t>
        </is>
      </c>
      <c r="E48" s="2" t="inlineStr">
        <is>
          <t>BFI, Aug 2025: one Christie CP4415-RGB laser projector + lens, GBP 47,995 ex VAT. Pavilion Theatre, Ireland, May 2026 tender: 4K system incl. booth, server and audio processor, estimated EUR 140,000. Cinema United: $65K-$110K to add a new digital projector.</t>
        </is>
      </c>
      <c r="F48" s="7" t="inlineStr">
        <is>
          <t>https://www.find-tender.service.gov.uk/Notice/048421-2025
https://app.mercell.com/tender/208433156/4K-Cinema-Projector
https://cinemaunited.org/wp-content/uploads/2025/09/Cinema-United-Cinema-Investment-Report-September-16-2025.pdf</t>
        </is>
      </c>
    </row>
    <row r="49">
      <c r="A49" s="2" t="inlineStr">
        <is>
          <t>Sound systems (all screens)</t>
        </is>
      </c>
      <c r="B49" s="6" t="n"/>
      <c r="C49" s="2" t="inlineStr">
        <is>
          <t>currency</t>
        </is>
      </c>
      <c r="D49" s="2" t="inlineStr">
        <is>
          <t>Processor, amplification and speakers per auditorium.</t>
        </is>
      </c>
      <c r="E49" s="2" t="inlineStr">
        <is>
          <t>Cinema United (Sept 2025): $30K-$145K to add a new sound system to a single auditorium.</t>
        </is>
      </c>
      <c r="F49" s="7" t="inlineStr">
        <is>
          <t>https://cinemaunited.org/wp-content/uploads/2025/09/Cinema-United-Cinema-Investment-Report-September-16-2025.pdf</t>
        </is>
      </c>
    </row>
    <row r="50">
      <c r="A50" s="2" t="inlineStr">
        <is>
          <t>Screens and masking (all screens)</t>
        </is>
      </c>
      <c r="B50" s="6" t="n"/>
      <c r="C50" s="2" t="inlineStr">
        <is>
          <t>currency</t>
        </is>
      </c>
      <c r="D50" s="2" t="inlineStr">
        <is>
          <t>Screen surface, frame and masking per auditorium.</t>
        </is>
      </c>
      <c r="E50" s="2" t="inlineStr">
        <is>
          <t>Cinema United (Sept 2025): $12K-$100K to add a new movie screen to a single auditorium.</t>
        </is>
      </c>
      <c r="F50" s="7" t="inlineStr">
        <is>
          <t>https://cinemaunited.org/wp-content/uploads/2025/09/Cinema-United-Cinema-Investment-Report-September-16-2025.pdf</t>
        </is>
      </c>
    </row>
    <row r="51">
      <c r="A51" s="2" t="inlineStr">
        <is>
          <t>Seating (all screens)</t>
        </is>
      </c>
      <c r="B51" s="6" t="n"/>
      <c r="C51" s="2" t="inlineStr">
        <is>
          <t>currency</t>
        </is>
      </c>
      <c r="D51" s="2" t="inlineStr">
        <is>
          <t>Seat count times quoted price, plus freight and installation. Small orders cost far more per seat.</t>
        </is>
      </c>
      <c r="E51" s="2" t="inlineStr">
        <is>
          <t>Irwin Seating public contract (2020): fixed auditorium chairs about $174-$818 per seat for orders of 750+. Cinema United: about $1M to buy and install 1,000 seats across several auditoriums.</t>
        </is>
      </c>
      <c r="F51" s="7" t="inlineStr">
        <is>
          <t>https://procurement.maricopa.edu/sites/default/files/purchasing/vendor_documents/R191805_Contract%20Document%20%285%29.pdf
https://cinemaunited.org/wp-content/uploads/2025/09/Cinema-United-Cinema-Investment-Report-September-16-2025.pdf</t>
        </is>
      </c>
    </row>
    <row r="52">
      <c r="A52" s="2" t="inlineStr">
        <is>
          <t>Concession counter, kitchen and bar equipment</t>
        </is>
      </c>
      <c r="B52" s="6" t="n"/>
      <c r="C52" s="2" t="inlineStr">
        <is>
          <t>currency</t>
        </is>
      </c>
      <c r="D52" s="2" t="inlineStr">
        <is>
          <t>Counter, popcorn and drinks equipment, refrigeration, any kitchen or bar.</t>
        </is>
      </c>
      <c r="E52" s="2" t="inlineStr">
        <is>
          <t>Cinema United (Sept 2025): $150K-$750K to add a kitchen; $150K-$1M to add a full-service lobby bar.</t>
        </is>
      </c>
      <c r="F52" s="7" t="inlineStr">
        <is>
          <t>https://cinemaunited.org/wp-content/uploads/2025/09/Cinema-United-Cinema-Investment-Report-September-16-2025.pdf</t>
        </is>
      </c>
    </row>
    <row r="53">
      <c r="A53" s="2" t="inlineStr">
        <is>
          <t>Box office, POS, network, signage and website setup</t>
        </is>
      </c>
      <c r="B53" s="6" t="n"/>
      <c r="C53" s="2" t="inlineStr">
        <is>
          <t>currency</t>
        </is>
      </c>
      <c r="D53" s="2" t="inlineStr">
        <is>
          <t>Hardware, cabling, set-up fees and digital signage.</t>
        </is>
      </c>
      <c r="E53" s="2" t="n"/>
      <c r="F53" s="2" t="n"/>
    </row>
    <row r="54">
      <c r="A54" s="2" t="inlineStr">
        <is>
          <t>Professional fees</t>
        </is>
      </c>
      <c r="B54" s="6" t="n"/>
      <c r="C54" s="2" t="inlineStr">
        <is>
          <t>currency</t>
        </is>
      </c>
      <c r="D54" s="2" t="inlineStr">
        <is>
          <t>Architect, acoustician, structural and services engineers, project management.</t>
        </is>
      </c>
      <c r="E54" s="2" t="n"/>
      <c r="F54" s="2" t="n"/>
    </row>
    <row r="55">
      <c r="A55" s="2" t="inlineStr">
        <is>
          <t>Planning, permits and licensing</t>
        </is>
      </c>
      <c r="B55" s="6" t="n"/>
      <c r="C55" s="2" t="inlineStr">
        <is>
          <t>currency</t>
        </is>
      </c>
      <c r="D55" s="2" t="inlineStr">
        <is>
          <t>Applications, fees and professional time to obtain them.</t>
        </is>
      </c>
      <c r="E55" s="2" t="n"/>
      <c r="F55" s="2" t="n"/>
    </row>
    <row r="56">
      <c r="A56" s="2" t="inlineStr">
        <is>
          <t>Pre-opening payroll, recruitment and training</t>
        </is>
      </c>
      <c r="B56" s="6" t="n"/>
      <c r="C56" s="2" t="inlineStr">
        <is>
          <t>currency</t>
        </is>
      </c>
      <c r="D56" s="2" t="inlineStr">
        <is>
          <t>Staff cost before there is any revenue.</t>
        </is>
      </c>
      <c r="E56" s="2" t="n"/>
      <c r="F56" s="2" t="n"/>
    </row>
    <row r="57">
      <c r="A57" s="2" t="inlineStr">
        <is>
          <t>Launch marketing</t>
        </is>
      </c>
      <c r="B57" s="6" t="n"/>
      <c r="C57" s="2" t="inlineStr">
        <is>
          <t>currency</t>
        </is>
      </c>
      <c r="D57" s="2" t="inlineStr">
        <is>
          <t>Making the town aware you exist.</t>
        </is>
      </c>
      <c r="E57" s="2" t="n"/>
      <c r="F57" s="2" t="n"/>
    </row>
    <row r="58">
      <c r="A58" s="2" t="inlineStr">
        <is>
          <t>Opening concession stock</t>
        </is>
      </c>
      <c r="B58" s="6" t="n"/>
      <c r="C58" s="2" t="inlineStr">
        <is>
          <t>currency</t>
        </is>
      </c>
      <c r="D58" s="2" t="inlineStr">
        <is>
          <t>First stock order.</t>
        </is>
      </c>
      <c r="E58" s="2" t="n"/>
      <c r="F58" s="2" t="n"/>
    </row>
    <row r="59">
      <c r="A59" s="2" t="inlineStr">
        <is>
          <t>Finance costs during construction</t>
        </is>
      </c>
      <c r="B59" s="6" t="n"/>
      <c r="C59" s="2" t="inlineStr">
        <is>
          <t>currency</t>
        </is>
      </c>
      <c r="D59" s="2" t="inlineStr">
        <is>
          <t>Interest and arrangement fees before trading starts.</t>
        </is>
      </c>
      <c r="E59" s="2" t="n"/>
      <c r="F59" s="2" t="n"/>
    </row>
    <row r="60">
      <c r="A60" s="2" t="inlineStr">
        <is>
          <t>Contingency for overruns</t>
        </is>
      </c>
      <c r="B60" s="6" t="n"/>
      <c r="C60" s="2" t="inlineStr">
        <is>
          <t>currency</t>
        </is>
      </c>
      <c r="D60" s="2" t="inlineStr">
        <is>
          <t>Plan the overrun explicitly rather than hoping it will not happen.</t>
        </is>
      </c>
      <c r="E60" s="2" t="inlineStr">
        <is>
          <t>See the Kirkby example under Construction and fit-out.</t>
        </is>
      </c>
      <c r="F60" s="7" t="inlineStr">
        <is>
          <t>https://www.knowsleynews.co.uk/kirkby-cinema-scheme-paused/</t>
        </is>
      </c>
    </row>
    <row r="61">
      <c r="A61" s="2" t="inlineStr">
        <is>
          <t>Working-capital reserve for the ramp-up</t>
        </is>
      </c>
      <c r="B61" s="6" t="n"/>
      <c r="C61" s="2" t="inlineStr">
        <is>
          <t>currency</t>
        </is>
      </c>
      <c r="D61" s="2" t="inlineStr">
        <is>
          <t>Cash to cover payroll, film hire, rent and debt service while attendance is below forecast. Check the 'Cumulative cash' row on the Monthly P&amp;L.</t>
        </is>
      </c>
      <c r="E61" s="2" t="n"/>
      <c r="F61" s="2" t="n"/>
    </row>
  </sheetData>
  <mergeCells count="1">
    <mergeCell ref="A2:F2"/>
  </mergeCells>
  <dataValidations count="3">
    <dataValidation sqref="B17" showDropDown="0" showInputMessage="0" showErrorMessage="0" allowBlank="1" type="list">
      <formula1>"catchment,capacity"</formula1>
    </dataValidation>
    <dataValidation sqref="B10 B16 B25 B26 B28 B41" showDropDown="0" showInputMessage="0" showErrorMessage="0" allowBlank="1" errorTitle="Percentage" error="Enter a percentage between 0% and 100%" type="decimal" operator="between">
      <formula1>0</formula1>
      <formula2>1</formula2>
    </dataValidation>
    <dataValidation sqref="B6 B7 B8 B9 B13 B14 B15 B20 B21 B22 B27 B31 B32 B33 B34 B35 B36 B39 B40 B42 B45 B46 B47 B48 B49 B50 B51 B52 B53 B54 B55 B56 B57 B58 B59 B60 B61" showDropDown="0" showInputMessage="0" showErrorMessage="0" allowBlank="1" errorTitle="Number" error="Enter a number of zero or more" type="decimal" operator="greaterThanOrEqual">
      <formula1>0</formula1>
    </dataValidation>
  </dataValidations>
  <hyperlinks>
    <hyperlink xmlns:r="http://schemas.openxmlformats.org/officeDocument/2006/relationships" ref="F7" r:id="rId1"/>
    <hyperlink xmlns:r="http://schemas.openxmlformats.org/officeDocument/2006/relationships" ref="F10" r:id="rId2"/>
    <hyperlink xmlns:r="http://schemas.openxmlformats.org/officeDocument/2006/relationships" ref="F20" r:id="rId3"/>
    <hyperlink xmlns:r="http://schemas.openxmlformats.org/officeDocument/2006/relationships" ref="F21" r:id="rId4"/>
    <hyperlink xmlns:r="http://schemas.openxmlformats.org/officeDocument/2006/relationships" ref="F25" r:id="rId5"/>
    <hyperlink xmlns:r="http://schemas.openxmlformats.org/officeDocument/2006/relationships" ref="F26" r:id="rId6"/>
    <hyperlink xmlns:r="http://schemas.openxmlformats.org/officeDocument/2006/relationships" ref="F46" r:id="rId7"/>
    <hyperlink xmlns:r="http://schemas.openxmlformats.org/officeDocument/2006/relationships" ref="F48" r:id="rId8"/>
    <hyperlink xmlns:r="http://schemas.openxmlformats.org/officeDocument/2006/relationships" ref="F49" r:id="rId9"/>
    <hyperlink xmlns:r="http://schemas.openxmlformats.org/officeDocument/2006/relationships" ref="F50" r:id="rId10"/>
    <hyperlink xmlns:r="http://schemas.openxmlformats.org/officeDocument/2006/relationships" ref="F51" r:id="rId11"/>
    <hyperlink xmlns:r="http://schemas.openxmlformats.org/officeDocument/2006/relationships" ref="F52" r:id="rId12"/>
    <hyperlink xmlns:r="http://schemas.openxmlformats.org/officeDocument/2006/relationships" ref="F60" r:id="rId13"/>
  </hyperlink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N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s>
  <sheetData>
    <row r="1">
      <c r="A1" s="1" t="inlineStr">
        <is>
          <t>Monthly P&amp;L and cash flow: first 12 months</t>
        </is>
      </c>
    </row>
    <row r="2" ht="45" customHeight="1">
      <c r="A2" s="2" t="inlineStr">
        <is>
          <t>Fill the two yellow rows. Seasonality: a relative weight per month (any scale; the model normalises them). Ramp-up: the share of steady-state demand you expect in each opening month (blank = 100%). Month 1 is your first month of trading, so enter the weight for that calendar month.</t>
        </is>
      </c>
    </row>
    <row r="4">
      <c r="A4" s="3" t="inlineStr">
        <is>
          <t>Line</t>
        </is>
      </c>
      <c r="B4" s="3" t="inlineStr">
        <is>
          <t>Month 1</t>
        </is>
      </c>
      <c r="C4" s="3" t="inlineStr">
        <is>
          <t>Month 2</t>
        </is>
      </c>
      <c r="D4" s="3" t="inlineStr">
        <is>
          <t>Month 3</t>
        </is>
      </c>
      <c r="E4" s="3" t="inlineStr">
        <is>
          <t>Month 4</t>
        </is>
      </c>
      <c r="F4" s="3" t="inlineStr">
        <is>
          <t>Month 5</t>
        </is>
      </c>
      <c r="G4" s="3" t="inlineStr">
        <is>
          <t>Month 6</t>
        </is>
      </c>
      <c r="H4" s="3" t="inlineStr">
        <is>
          <t>Month 7</t>
        </is>
      </c>
      <c r="I4" s="3" t="inlineStr">
        <is>
          <t>Month 8</t>
        </is>
      </c>
      <c r="J4" s="3" t="inlineStr">
        <is>
          <t>Month 9</t>
        </is>
      </c>
      <c r="K4" s="3" t="inlineStr">
        <is>
          <t>Month 10</t>
        </is>
      </c>
      <c r="L4" s="3" t="inlineStr">
        <is>
          <t>Month 11</t>
        </is>
      </c>
      <c r="M4" s="3" t="inlineStr">
        <is>
          <t>Month 12</t>
        </is>
      </c>
      <c r="N4" s="3" t="inlineStr">
        <is>
          <t>Year 1 total</t>
        </is>
      </c>
    </row>
    <row r="5">
      <c r="A5" t="inlineStr">
        <is>
          <t>Calendar month (optional label)</t>
        </is>
      </c>
      <c r="B5" s="13" t="n"/>
      <c r="C5" s="13" t="n"/>
      <c r="D5" s="13" t="n"/>
      <c r="E5" s="13" t="n"/>
      <c r="F5" s="13" t="n"/>
      <c r="G5" s="13" t="n"/>
      <c r="H5" s="13" t="n"/>
      <c r="I5" s="13" t="n"/>
      <c r="J5" s="13" t="n"/>
      <c r="K5" s="13" t="n"/>
      <c r="L5" s="13" t="n"/>
      <c r="M5" s="13" t="n"/>
    </row>
    <row r="6">
      <c r="A6" t="inlineStr">
        <is>
          <t>Seasonality weight</t>
        </is>
      </c>
      <c r="B6" s="8" t="n"/>
      <c r="C6" s="8" t="n"/>
      <c r="D6" s="8" t="n"/>
      <c r="E6" s="8" t="n"/>
      <c r="F6" s="8" t="n"/>
      <c r="G6" s="8" t="n"/>
      <c r="H6" s="8" t="n"/>
      <c r="I6" s="8" t="n"/>
      <c r="J6" s="8" t="n"/>
      <c r="K6" s="8" t="n"/>
      <c r="L6" s="8" t="n"/>
      <c r="M6" s="8" t="n"/>
      <c r="N6" s="14" t="n"/>
    </row>
    <row r="7">
      <c r="A7" t="inlineStr">
        <is>
          <t>Ramp-up, % of steady state</t>
        </is>
      </c>
      <c r="B7" s="15" t="n"/>
      <c r="C7" s="15" t="n"/>
      <c r="D7" s="15" t="n"/>
      <c r="E7" s="15" t="n"/>
      <c r="F7" s="15" t="n"/>
      <c r="G7" s="15" t="n"/>
      <c r="H7" s="15" t="n"/>
      <c r="I7" s="15" t="n"/>
      <c r="J7" s="15" t="n"/>
      <c r="K7" s="15" t="n"/>
      <c r="L7" s="15" t="n"/>
      <c r="M7" s="15" t="n"/>
      <c r="N7" s="16" t="n"/>
    </row>
    <row r="9">
      <c r="A9" t="inlineStr">
        <is>
          <t>Admissions</t>
        </is>
      </c>
      <c r="B9" s="17">
        <f>'Break-even'!$B$10*IF(SUM($B$6:$M$6)=0,1/12,B6/SUM($B$6:$M$6))*IF(B7="",1,B7)</f>
        <v/>
      </c>
      <c r="C9" s="17">
        <f>'Break-even'!$B$10*IF(SUM($B$6:$M$6)=0,1/12,C6/SUM($B$6:$M$6))*IF(C7="",1,C7)</f>
        <v/>
      </c>
      <c r="D9" s="17">
        <f>'Break-even'!$B$10*IF(SUM($B$6:$M$6)=0,1/12,D6/SUM($B$6:$M$6))*IF(D7="",1,D7)</f>
        <v/>
      </c>
      <c r="E9" s="17">
        <f>'Break-even'!$B$10*IF(SUM($B$6:$M$6)=0,1/12,E6/SUM($B$6:$M$6))*IF(E7="",1,E7)</f>
        <v/>
      </c>
      <c r="F9" s="17">
        <f>'Break-even'!$B$10*IF(SUM($B$6:$M$6)=0,1/12,F6/SUM($B$6:$M$6))*IF(F7="",1,F7)</f>
        <v/>
      </c>
      <c r="G9" s="17">
        <f>'Break-even'!$B$10*IF(SUM($B$6:$M$6)=0,1/12,G6/SUM($B$6:$M$6))*IF(G7="",1,G7)</f>
        <v/>
      </c>
      <c r="H9" s="17">
        <f>'Break-even'!$B$10*IF(SUM($B$6:$M$6)=0,1/12,H6/SUM($B$6:$M$6))*IF(H7="",1,H7)</f>
        <v/>
      </c>
      <c r="I9" s="17">
        <f>'Break-even'!$B$10*IF(SUM($B$6:$M$6)=0,1/12,I6/SUM($B$6:$M$6))*IF(I7="",1,I7)</f>
        <v/>
      </c>
      <c r="J9" s="17">
        <f>'Break-even'!$B$10*IF(SUM($B$6:$M$6)=0,1/12,J6/SUM($B$6:$M$6))*IF(J7="",1,J7)</f>
        <v/>
      </c>
      <c r="K9" s="17">
        <f>'Break-even'!$B$10*IF(SUM($B$6:$M$6)=0,1/12,K6/SUM($B$6:$M$6))*IF(K7="",1,K7)</f>
        <v/>
      </c>
      <c r="L9" s="17">
        <f>'Break-even'!$B$10*IF(SUM($B$6:$M$6)=0,1/12,L6/SUM($B$6:$M$6))*IF(L7="",1,L7)</f>
        <v/>
      </c>
      <c r="M9" s="17">
        <f>'Break-even'!$B$10*IF(SUM($B$6:$M$6)=0,1/12,M6/SUM($B$6:$M$6))*IF(M7="",1,M7)</f>
        <v/>
      </c>
      <c r="N9" s="18">
        <f>SUM(B9:M9)</f>
        <v/>
      </c>
    </row>
    <row r="11">
      <c r="A11" t="inlineStr">
        <is>
          <t>Box office revenue</t>
        </is>
      </c>
      <c r="B11" s="17">
        <f>B9*Inputs!$B$20</f>
        <v/>
      </c>
      <c r="C11" s="17">
        <f>C9*Inputs!$B$20</f>
        <v/>
      </c>
      <c r="D11" s="17">
        <f>D9*Inputs!$B$20</f>
        <v/>
      </c>
      <c r="E11" s="17">
        <f>E9*Inputs!$B$20</f>
        <v/>
      </c>
      <c r="F11" s="17">
        <f>F9*Inputs!$B$20</f>
        <v/>
      </c>
      <c r="G11" s="17">
        <f>G9*Inputs!$B$20</f>
        <v/>
      </c>
      <c r="H11" s="17">
        <f>H9*Inputs!$B$20</f>
        <v/>
      </c>
      <c r="I11" s="17">
        <f>I9*Inputs!$B$20</f>
        <v/>
      </c>
      <c r="J11" s="17">
        <f>J9*Inputs!$B$20</f>
        <v/>
      </c>
      <c r="K11" s="17">
        <f>K9*Inputs!$B$20</f>
        <v/>
      </c>
      <c r="L11" s="17">
        <f>L9*Inputs!$B$20</f>
        <v/>
      </c>
      <c r="M11" s="17">
        <f>M9*Inputs!$B$20</f>
        <v/>
      </c>
      <c r="N11" s="18">
        <f>SUM(B11:M11)</f>
        <v/>
      </c>
    </row>
    <row r="12">
      <c r="A12" t="inlineStr">
        <is>
          <t>Concession revenue</t>
        </is>
      </c>
      <c r="B12" s="17">
        <f>B9*Inputs!$B$21</f>
        <v/>
      </c>
      <c r="C12" s="17">
        <f>C9*Inputs!$B$21</f>
        <v/>
      </c>
      <c r="D12" s="17">
        <f>D9*Inputs!$B$21</f>
        <v/>
      </c>
      <c r="E12" s="17">
        <f>E9*Inputs!$B$21</f>
        <v/>
      </c>
      <c r="F12" s="17">
        <f>F9*Inputs!$B$21</f>
        <v/>
      </c>
      <c r="G12" s="17">
        <f>G9*Inputs!$B$21</f>
        <v/>
      </c>
      <c r="H12" s="17">
        <f>H9*Inputs!$B$21</f>
        <v/>
      </c>
      <c r="I12" s="17">
        <f>I9*Inputs!$B$21</f>
        <v/>
      </c>
      <c r="J12" s="17">
        <f>J9*Inputs!$B$21</f>
        <v/>
      </c>
      <c r="K12" s="17">
        <f>K9*Inputs!$B$21</f>
        <v/>
      </c>
      <c r="L12" s="17">
        <f>L9*Inputs!$B$21</f>
        <v/>
      </c>
      <c r="M12" s="17">
        <f>M9*Inputs!$B$21</f>
        <v/>
      </c>
      <c r="N12" s="18">
        <f>SUM(B12:M12)</f>
        <v/>
      </c>
    </row>
    <row r="13">
      <c r="A13" t="inlineStr">
        <is>
          <t>Other revenue</t>
        </is>
      </c>
      <c r="B13" s="17">
        <f>Inputs!$B$22</f>
        <v/>
      </c>
      <c r="C13" s="17">
        <f>Inputs!$B$22</f>
        <v/>
      </c>
      <c r="D13" s="17">
        <f>Inputs!$B$22</f>
        <v/>
      </c>
      <c r="E13" s="17">
        <f>Inputs!$B$22</f>
        <v/>
      </c>
      <c r="F13" s="17">
        <f>Inputs!$B$22</f>
        <v/>
      </c>
      <c r="G13" s="17">
        <f>Inputs!$B$22</f>
        <v/>
      </c>
      <c r="H13" s="17">
        <f>Inputs!$B$22</f>
        <v/>
      </c>
      <c r="I13" s="17">
        <f>Inputs!$B$22</f>
        <v/>
      </c>
      <c r="J13" s="17">
        <f>Inputs!$B$22</f>
        <v/>
      </c>
      <c r="K13" s="17">
        <f>Inputs!$B$22</f>
        <v/>
      </c>
      <c r="L13" s="17">
        <f>Inputs!$B$22</f>
        <v/>
      </c>
      <c r="M13" s="17">
        <f>Inputs!$B$22</f>
        <v/>
      </c>
      <c r="N13" s="18">
        <f>SUM(B13:M13)</f>
        <v/>
      </c>
    </row>
    <row r="14">
      <c r="A14" s="19" t="inlineStr">
        <is>
          <t>Total revenue</t>
        </is>
      </c>
      <c r="B14" s="20">
        <f>B11+B12+B13</f>
        <v/>
      </c>
      <c r="C14" s="20">
        <f>C11+C12+C13</f>
        <v/>
      </c>
      <c r="D14" s="20">
        <f>D11+D12+D13</f>
        <v/>
      </c>
      <c r="E14" s="20">
        <f>E11+E12+E13</f>
        <v/>
      </c>
      <c r="F14" s="20">
        <f>F11+F12+F13</f>
        <v/>
      </c>
      <c r="G14" s="20">
        <f>G11+G12+G13</f>
        <v/>
      </c>
      <c r="H14" s="20">
        <f>H11+H12+H13</f>
        <v/>
      </c>
      <c r="I14" s="20">
        <f>I11+I12+I13</f>
        <v/>
      </c>
      <c r="J14" s="20">
        <f>J11+J12+J13</f>
        <v/>
      </c>
      <c r="K14" s="20">
        <f>K11+K12+K13</f>
        <v/>
      </c>
      <c r="L14" s="20">
        <f>L11+L12+L13</f>
        <v/>
      </c>
      <c r="M14" s="20">
        <f>M11+M12+M13</f>
        <v/>
      </c>
      <c r="N14" s="18">
        <f>SUM(B14:M14)</f>
        <v/>
      </c>
    </row>
    <row r="16">
      <c r="A16" t="inlineStr">
        <is>
          <t>Film rental</t>
        </is>
      </c>
      <c r="B16" s="17">
        <f>B11*Inputs!$B$25</f>
        <v/>
      </c>
      <c r="C16" s="17">
        <f>C11*Inputs!$B$25</f>
        <v/>
      </c>
      <c r="D16" s="17">
        <f>D11*Inputs!$B$25</f>
        <v/>
      </c>
      <c r="E16" s="17">
        <f>E11*Inputs!$B$25</f>
        <v/>
      </c>
      <c r="F16" s="17">
        <f>F11*Inputs!$B$25</f>
        <v/>
      </c>
      <c r="G16" s="17">
        <f>G11*Inputs!$B$25</f>
        <v/>
      </c>
      <c r="H16" s="17">
        <f>H11*Inputs!$B$25</f>
        <v/>
      </c>
      <c r="I16" s="17">
        <f>I11*Inputs!$B$25</f>
        <v/>
      </c>
      <c r="J16" s="17">
        <f>J11*Inputs!$B$25</f>
        <v/>
      </c>
      <c r="K16" s="17">
        <f>K11*Inputs!$B$25</f>
        <v/>
      </c>
      <c r="L16" s="17">
        <f>L11*Inputs!$B$25</f>
        <v/>
      </c>
      <c r="M16" s="17">
        <f>M11*Inputs!$B$25</f>
        <v/>
      </c>
      <c r="N16" s="18">
        <f>SUM(B16:M16)</f>
        <v/>
      </c>
    </row>
    <row r="17">
      <c r="A17" t="inlineStr">
        <is>
          <t>Concession cost of goods</t>
        </is>
      </c>
      <c r="B17" s="17">
        <f>B12*Inputs!$B$26</f>
        <v/>
      </c>
      <c r="C17" s="17">
        <f>C12*Inputs!$B$26</f>
        <v/>
      </c>
      <c r="D17" s="17">
        <f>D12*Inputs!$B$26</f>
        <v/>
      </c>
      <c r="E17" s="17">
        <f>E12*Inputs!$B$26</f>
        <v/>
      </c>
      <c r="F17" s="17">
        <f>F12*Inputs!$B$26</f>
        <v/>
      </c>
      <c r="G17" s="17">
        <f>G12*Inputs!$B$26</f>
        <v/>
      </c>
      <c r="H17" s="17">
        <f>H12*Inputs!$B$26</f>
        <v/>
      </c>
      <c r="I17" s="17">
        <f>I12*Inputs!$B$26</f>
        <v/>
      </c>
      <c r="J17" s="17">
        <f>J12*Inputs!$B$26</f>
        <v/>
      </c>
      <c r="K17" s="17">
        <f>K12*Inputs!$B$26</f>
        <v/>
      </c>
      <c r="L17" s="17">
        <f>L12*Inputs!$B$26</f>
        <v/>
      </c>
      <c r="M17" s="17">
        <f>M12*Inputs!$B$26</f>
        <v/>
      </c>
      <c r="N17" s="18">
        <f>SUM(B17:M17)</f>
        <v/>
      </c>
    </row>
    <row r="18">
      <c r="A18" t="inlineStr">
        <is>
          <t>Per-ticket fees</t>
        </is>
      </c>
      <c r="B18" s="17">
        <f>B9*Inputs!$B$27</f>
        <v/>
      </c>
      <c r="C18" s="17">
        <f>C9*Inputs!$B$27</f>
        <v/>
      </c>
      <c r="D18" s="17">
        <f>D9*Inputs!$B$27</f>
        <v/>
      </c>
      <c r="E18" s="17">
        <f>E9*Inputs!$B$27</f>
        <v/>
      </c>
      <c r="F18" s="17">
        <f>F9*Inputs!$B$27</f>
        <v/>
      </c>
      <c r="G18" s="17">
        <f>G9*Inputs!$B$27</f>
        <v/>
      </c>
      <c r="H18" s="17">
        <f>H9*Inputs!$B$27</f>
        <v/>
      </c>
      <c r="I18" s="17">
        <f>I9*Inputs!$B$27</f>
        <v/>
      </c>
      <c r="J18" s="17">
        <f>J9*Inputs!$B$27</f>
        <v/>
      </c>
      <c r="K18" s="17">
        <f>K9*Inputs!$B$27</f>
        <v/>
      </c>
      <c r="L18" s="17">
        <f>L9*Inputs!$B$27</f>
        <v/>
      </c>
      <c r="M18" s="17">
        <f>M9*Inputs!$B$27</f>
        <v/>
      </c>
      <c r="N18" s="18">
        <f>SUM(B18:M18)</f>
        <v/>
      </c>
    </row>
    <row r="19">
      <c r="A19" t="inlineStr">
        <is>
          <t>Card processing</t>
        </is>
      </c>
      <c r="B19" s="17">
        <f>B14*Inputs!$B$28</f>
        <v/>
      </c>
      <c r="C19" s="17">
        <f>C14*Inputs!$B$28</f>
        <v/>
      </c>
      <c r="D19" s="17">
        <f>D14*Inputs!$B$28</f>
        <v/>
      </c>
      <c r="E19" s="17">
        <f>E14*Inputs!$B$28</f>
        <v/>
      </c>
      <c r="F19" s="17">
        <f>F14*Inputs!$B$28</f>
        <v/>
      </c>
      <c r="G19" s="17">
        <f>G14*Inputs!$B$28</f>
        <v/>
      </c>
      <c r="H19" s="17">
        <f>H14*Inputs!$B$28</f>
        <v/>
      </c>
      <c r="I19" s="17">
        <f>I14*Inputs!$B$28</f>
        <v/>
      </c>
      <c r="J19" s="17">
        <f>J14*Inputs!$B$28</f>
        <v/>
      </c>
      <c r="K19" s="17">
        <f>K14*Inputs!$B$28</f>
        <v/>
      </c>
      <c r="L19" s="17">
        <f>L14*Inputs!$B$28</f>
        <v/>
      </c>
      <c r="M19" s="17">
        <f>M14*Inputs!$B$28</f>
        <v/>
      </c>
      <c r="N19" s="18">
        <f>SUM(B19:M19)</f>
        <v/>
      </c>
    </row>
    <row r="20">
      <c r="A20" s="19" t="inlineStr">
        <is>
          <t>Gross profit</t>
        </is>
      </c>
      <c r="B20" s="20">
        <f>B14-B16-B17-B18-B19</f>
        <v/>
      </c>
      <c r="C20" s="20">
        <f>C14-C16-C17-C18-C19</f>
        <v/>
      </c>
      <c r="D20" s="20">
        <f>D14-D16-D17-D18-D19</f>
        <v/>
      </c>
      <c r="E20" s="20">
        <f>E14-E16-E17-E18-E19</f>
        <v/>
      </c>
      <c r="F20" s="20">
        <f>F14-F16-F17-F18-F19</f>
        <v/>
      </c>
      <c r="G20" s="20">
        <f>G14-G16-G17-G18-G19</f>
        <v/>
      </c>
      <c r="H20" s="20">
        <f>H14-H16-H17-H18-H19</f>
        <v/>
      </c>
      <c r="I20" s="20">
        <f>I14-I16-I17-I18-I19</f>
        <v/>
      </c>
      <c r="J20" s="20">
        <f>J14-J16-J17-J18-J19</f>
        <v/>
      </c>
      <c r="K20" s="20">
        <f>K14-K16-K17-K18-K19</f>
        <v/>
      </c>
      <c r="L20" s="20">
        <f>L14-L16-L17-L18-L19</f>
        <v/>
      </c>
      <c r="M20" s="20">
        <f>M14-M16-M17-M18-M19</f>
        <v/>
      </c>
      <c r="N20" s="18">
        <f>SUM(B20:M20)</f>
        <v/>
      </c>
    </row>
    <row r="22">
      <c r="A22" t="inlineStr">
        <is>
          <t>Staff costs</t>
        </is>
      </c>
      <c r="B22" s="17">
        <f>Inputs!$B$31</f>
        <v/>
      </c>
      <c r="C22" s="17">
        <f>Inputs!$B$31</f>
        <v/>
      </c>
      <c r="D22" s="17">
        <f>Inputs!$B$31</f>
        <v/>
      </c>
      <c r="E22" s="17">
        <f>Inputs!$B$31</f>
        <v/>
      </c>
      <c r="F22" s="17">
        <f>Inputs!$B$31</f>
        <v/>
      </c>
      <c r="G22" s="17">
        <f>Inputs!$B$31</f>
        <v/>
      </c>
      <c r="H22" s="17">
        <f>Inputs!$B$31</f>
        <v/>
      </c>
      <c r="I22" s="17">
        <f>Inputs!$B$31</f>
        <v/>
      </c>
      <c r="J22" s="17">
        <f>Inputs!$B$31</f>
        <v/>
      </c>
      <c r="K22" s="17">
        <f>Inputs!$B$31</f>
        <v/>
      </c>
      <c r="L22" s="17">
        <f>Inputs!$B$31</f>
        <v/>
      </c>
      <c r="M22" s="17">
        <f>Inputs!$B$31</f>
        <v/>
      </c>
      <c r="N22" s="18">
        <f>SUM(B22:M22)</f>
        <v/>
      </c>
    </row>
    <row r="23">
      <c r="A23" t="inlineStr">
        <is>
          <t>Rent, service charge and property taxes</t>
        </is>
      </c>
      <c r="B23" s="17">
        <f>Inputs!$B$32</f>
        <v/>
      </c>
      <c r="C23" s="17">
        <f>Inputs!$B$32</f>
        <v/>
      </c>
      <c r="D23" s="17">
        <f>Inputs!$B$32</f>
        <v/>
      </c>
      <c r="E23" s="17">
        <f>Inputs!$B$32</f>
        <v/>
      </c>
      <c r="F23" s="17">
        <f>Inputs!$B$32</f>
        <v/>
      </c>
      <c r="G23" s="17">
        <f>Inputs!$B$32</f>
        <v/>
      </c>
      <c r="H23" s="17">
        <f>Inputs!$B$32</f>
        <v/>
      </c>
      <c r="I23" s="17">
        <f>Inputs!$B$32</f>
        <v/>
      </c>
      <c r="J23" s="17">
        <f>Inputs!$B$32</f>
        <v/>
      </c>
      <c r="K23" s="17">
        <f>Inputs!$B$32</f>
        <v/>
      </c>
      <c r="L23" s="17">
        <f>Inputs!$B$32</f>
        <v/>
      </c>
      <c r="M23" s="17">
        <f>Inputs!$B$32</f>
        <v/>
      </c>
      <c r="N23" s="18">
        <f>SUM(B23:M23)</f>
        <v/>
      </c>
    </row>
    <row r="24">
      <c r="A24" t="inlineStr">
        <is>
          <t>Utilities</t>
        </is>
      </c>
      <c r="B24" s="17">
        <f>Inputs!$B$33</f>
        <v/>
      </c>
      <c r="C24" s="17">
        <f>Inputs!$B$33</f>
        <v/>
      </c>
      <c r="D24" s="17">
        <f>Inputs!$B$33</f>
        <v/>
      </c>
      <c r="E24" s="17">
        <f>Inputs!$B$33</f>
        <v/>
      </c>
      <c r="F24" s="17">
        <f>Inputs!$B$33</f>
        <v/>
      </c>
      <c r="G24" s="17">
        <f>Inputs!$B$33</f>
        <v/>
      </c>
      <c r="H24" s="17">
        <f>Inputs!$B$33</f>
        <v/>
      </c>
      <c r="I24" s="17">
        <f>Inputs!$B$33</f>
        <v/>
      </c>
      <c r="J24" s="17">
        <f>Inputs!$B$33</f>
        <v/>
      </c>
      <c r="K24" s="17">
        <f>Inputs!$B$33</f>
        <v/>
      </c>
      <c r="L24" s="17">
        <f>Inputs!$B$33</f>
        <v/>
      </c>
      <c r="M24" s="17">
        <f>Inputs!$B$33</f>
        <v/>
      </c>
      <c r="N24" s="18">
        <f>SUM(B24:M24)</f>
        <v/>
      </c>
    </row>
    <row r="25">
      <c r="A25" t="inlineStr">
        <is>
          <t>Marketing</t>
        </is>
      </c>
      <c r="B25" s="17">
        <f>Inputs!$B$34</f>
        <v/>
      </c>
      <c r="C25" s="17">
        <f>Inputs!$B$34</f>
        <v/>
      </c>
      <c r="D25" s="17">
        <f>Inputs!$B$34</f>
        <v/>
      </c>
      <c r="E25" s="17">
        <f>Inputs!$B$34</f>
        <v/>
      </c>
      <c r="F25" s="17">
        <f>Inputs!$B$34</f>
        <v/>
      </c>
      <c r="G25" s="17">
        <f>Inputs!$B$34</f>
        <v/>
      </c>
      <c r="H25" s="17">
        <f>Inputs!$B$34</f>
        <v/>
      </c>
      <c r="I25" s="17">
        <f>Inputs!$B$34</f>
        <v/>
      </c>
      <c r="J25" s="17">
        <f>Inputs!$B$34</f>
        <v/>
      </c>
      <c r="K25" s="17">
        <f>Inputs!$B$34</f>
        <v/>
      </c>
      <c r="L25" s="17">
        <f>Inputs!$B$34</f>
        <v/>
      </c>
      <c r="M25" s="17">
        <f>Inputs!$B$34</f>
        <v/>
      </c>
      <c r="N25" s="18">
        <f>SUM(B25:M25)</f>
        <v/>
      </c>
    </row>
    <row r="26">
      <c r="A26" t="inlineStr">
        <is>
          <t>Software and ticketing (fixed)</t>
        </is>
      </c>
      <c r="B26" s="17">
        <f>Inputs!$B$35</f>
        <v/>
      </c>
      <c r="C26" s="17">
        <f>Inputs!$B$35</f>
        <v/>
      </c>
      <c r="D26" s="17">
        <f>Inputs!$B$35</f>
        <v/>
      </c>
      <c r="E26" s="17">
        <f>Inputs!$B$35</f>
        <v/>
      </c>
      <c r="F26" s="17">
        <f>Inputs!$B$35</f>
        <v/>
      </c>
      <c r="G26" s="17">
        <f>Inputs!$B$35</f>
        <v/>
      </c>
      <c r="H26" s="17">
        <f>Inputs!$B$35</f>
        <v/>
      </c>
      <c r="I26" s="17">
        <f>Inputs!$B$35</f>
        <v/>
      </c>
      <c r="J26" s="17">
        <f>Inputs!$B$35</f>
        <v/>
      </c>
      <c r="K26" s="17">
        <f>Inputs!$B$35</f>
        <v/>
      </c>
      <c r="L26" s="17">
        <f>Inputs!$B$35</f>
        <v/>
      </c>
      <c r="M26" s="17">
        <f>Inputs!$B$35</f>
        <v/>
      </c>
      <c r="N26" s="18">
        <f>SUM(B26:M26)</f>
        <v/>
      </c>
    </row>
    <row r="27">
      <c r="A27" t="inlineStr">
        <is>
          <t>Insurance, maintenance and other fixed</t>
        </is>
      </c>
      <c r="B27" s="17">
        <f>Inputs!$B$36</f>
        <v/>
      </c>
      <c r="C27" s="17">
        <f>Inputs!$B$36</f>
        <v/>
      </c>
      <c r="D27" s="17">
        <f>Inputs!$B$36</f>
        <v/>
      </c>
      <c r="E27" s="17">
        <f>Inputs!$B$36</f>
        <v/>
      </c>
      <c r="F27" s="17">
        <f>Inputs!$B$36</f>
        <v/>
      </c>
      <c r="G27" s="17">
        <f>Inputs!$B$36</f>
        <v/>
      </c>
      <c r="H27" s="17">
        <f>Inputs!$B$36</f>
        <v/>
      </c>
      <c r="I27" s="17">
        <f>Inputs!$B$36</f>
        <v/>
      </c>
      <c r="J27" s="17">
        <f>Inputs!$B$36</f>
        <v/>
      </c>
      <c r="K27" s="17">
        <f>Inputs!$B$36</f>
        <v/>
      </c>
      <c r="L27" s="17">
        <f>Inputs!$B$36</f>
        <v/>
      </c>
      <c r="M27" s="17">
        <f>Inputs!$B$36</f>
        <v/>
      </c>
      <c r="N27" s="18">
        <f>SUM(B27:M27)</f>
        <v/>
      </c>
    </row>
    <row r="28">
      <c r="A28" s="19" t="inlineStr">
        <is>
          <t>Total fixed operating costs</t>
        </is>
      </c>
      <c r="B28" s="20">
        <f>SUM(B22:B27)</f>
        <v/>
      </c>
      <c r="C28" s="20">
        <f>SUM(C22:C27)</f>
        <v/>
      </c>
      <c r="D28" s="20">
        <f>SUM(D22:D27)</f>
        <v/>
      </c>
      <c r="E28" s="20">
        <f>SUM(E22:E27)</f>
        <v/>
      </c>
      <c r="F28" s="20">
        <f>SUM(F22:F27)</f>
        <v/>
      </c>
      <c r="G28" s="20">
        <f>SUM(G22:G27)</f>
        <v/>
      </c>
      <c r="H28" s="20">
        <f>SUM(H22:H27)</f>
        <v/>
      </c>
      <c r="I28" s="20">
        <f>SUM(I22:I27)</f>
        <v/>
      </c>
      <c r="J28" s="20">
        <f>SUM(J22:J27)</f>
        <v/>
      </c>
      <c r="K28" s="20">
        <f>SUM(K22:K27)</f>
        <v/>
      </c>
      <c r="L28" s="20">
        <f>SUM(L22:L27)</f>
        <v/>
      </c>
      <c r="M28" s="20">
        <f>SUM(M22:M27)</f>
        <v/>
      </c>
      <c r="N28" s="18">
        <f>SUM(B28:M28)</f>
        <v/>
      </c>
    </row>
    <row r="30">
      <c r="A30" s="19" t="inlineStr">
        <is>
          <t>EBITDA</t>
        </is>
      </c>
      <c r="B30" s="20">
        <f>B20-B28</f>
        <v/>
      </c>
      <c r="C30" s="20">
        <f>C20-C28</f>
        <v/>
      </c>
      <c r="D30" s="20">
        <f>D20-D28</f>
        <v/>
      </c>
      <c r="E30" s="20">
        <f>E20-E28</f>
        <v/>
      </c>
      <c r="F30" s="20">
        <f>F20-F28</f>
        <v/>
      </c>
      <c r="G30" s="20">
        <f>G20-G28</f>
        <v/>
      </c>
      <c r="H30" s="20">
        <f>H20-H28</f>
        <v/>
      </c>
      <c r="I30" s="20">
        <f>I20-I28</f>
        <v/>
      </c>
      <c r="J30" s="20">
        <f>J20-J28</f>
        <v/>
      </c>
      <c r="K30" s="20">
        <f>K20-K28</f>
        <v/>
      </c>
      <c r="L30" s="20">
        <f>L20-L28</f>
        <v/>
      </c>
      <c r="M30" s="20">
        <f>M20-M28</f>
        <v/>
      </c>
      <c r="N30" s="18">
        <f>SUM(B30:M30)</f>
        <v/>
      </c>
    </row>
    <row r="32">
      <c r="A32" t="inlineStr">
        <is>
          <t>Loan interest</t>
        </is>
      </c>
      <c r="B32" s="17">
        <f>IF(OR(Inputs!$B$40=0,Inputs!$B$42=0,Inputs!$B$41=0,1&gt;(Inputs!$B$42*12)),0,-IPMT(Inputs!$B$41/12,1,(Inputs!$B$42*12),Inputs!$B$40))</f>
        <v/>
      </c>
      <c r="C32" s="17">
        <f>IF(OR(Inputs!$B$40=0,Inputs!$B$42=0,Inputs!$B$41=0,2&gt;(Inputs!$B$42*12)),0,-IPMT(Inputs!$B$41/12,2,(Inputs!$B$42*12),Inputs!$B$40))</f>
        <v/>
      </c>
      <c r="D32" s="17">
        <f>IF(OR(Inputs!$B$40=0,Inputs!$B$42=0,Inputs!$B$41=0,3&gt;(Inputs!$B$42*12)),0,-IPMT(Inputs!$B$41/12,3,(Inputs!$B$42*12),Inputs!$B$40))</f>
        <v/>
      </c>
      <c r="E32" s="17">
        <f>IF(OR(Inputs!$B$40=0,Inputs!$B$42=0,Inputs!$B$41=0,4&gt;(Inputs!$B$42*12)),0,-IPMT(Inputs!$B$41/12,4,(Inputs!$B$42*12),Inputs!$B$40))</f>
        <v/>
      </c>
      <c r="F32" s="17">
        <f>IF(OR(Inputs!$B$40=0,Inputs!$B$42=0,Inputs!$B$41=0,5&gt;(Inputs!$B$42*12)),0,-IPMT(Inputs!$B$41/12,5,(Inputs!$B$42*12),Inputs!$B$40))</f>
        <v/>
      </c>
      <c r="G32" s="17">
        <f>IF(OR(Inputs!$B$40=0,Inputs!$B$42=0,Inputs!$B$41=0,6&gt;(Inputs!$B$42*12)),0,-IPMT(Inputs!$B$41/12,6,(Inputs!$B$42*12),Inputs!$B$40))</f>
        <v/>
      </c>
      <c r="H32" s="17">
        <f>IF(OR(Inputs!$B$40=0,Inputs!$B$42=0,Inputs!$B$41=0,7&gt;(Inputs!$B$42*12)),0,-IPMT(Inputs!$B$41/12,7,(Inputs!$B$42*12),Inputs!$B$40))</f>
        <v/>
      </c>
      <c r="I32" s="17">
        <f>IF(OR(Inputs!$B$40=0,Inputs!$B$42=0,Inputs!$B$41=0,8&gt;(Inputs!$B$42*12)),0,-IPMT(Inputs!$B$41/12,8,(Inputs!$B$42*12),Inputs!$B$40))</f>
        <v/>
      </c>
      <c r="J32" s="17">
        <f>IF(OR(Inputs!$B$40=0,Inputs!$B$42=0,Inputs!$B$41=0,9&gt;(Inputs!$B$42*12)),0,-IPMT(Inputs!$B$41/12,9,(Inputs!$B$42*12),Inputs!$B$40))</f>
        <v/>
      </c>
      <c r="K32" s="17">
        <f>IF(OR(Inputs!$B$40=0,Inputs!$B$42=0,Inputs!$B$41=0,10&gt;(Inputs!$B$42*12)),0,-IPMT(Inputs!$B$41/12,10,(Inputs!$B$42*12),Inputs!$B$40))</f>
        <v/>
      </c>
      <c r="L32" s="17">
        <f>IF(OR(Inputs!$B$40=0,Inputs!$B$42=0,Inputs!$B$41=0,11&gt;(Inputs!$B$42*12)),0,-IPMT(Inputs!$B$41/12,11,(Inputs!$B$42*12),Inputs!$B$40))</f>
        <v/>
      </c>
      <c r="M32" s="17">
        <f>IF(OR(Inputs!$B$40=0,Inputs!$B$42=0,Inputs!$B$41=0,12&gt;(Inputs!$B$42*12)),0,-IPMT(Inputs!$B$41/12,12,(Inputs!$B$42*12),Inputs!$B$40))</f>
        <v/>
      </c>
      <c r="N32" s="18">
        <f>SUM(B32:M32)</f>
        <v/>
      </c>
    </row>
    <row r="33">
      <c r="A33" t="inlineStr">
        <is>
          <t>Loan principal repaid</t>
        </is>
      </c>
      <c r="B33" s="17">
        <f>IF(OR(Inputs!$B$40=0,Inputs!$B$42=0,1&gt;(Inputs!$B$42*12)),0,'Break-even'!$B$20-B32)</f>
        <v/>
      </c>
      <c r="C33" s="17">
        <f>IF(OR(Inputs!$B$40=0,Inputs!$B$42=0,2&gt;(Inputs!$B$42*12)),0,'Break-even'!$B$20-C32)</f>
        <v/>
      </c>
      <c r="D33" s="17">
        <f>IF(OR(Inputs!$B$40=0,Inputs!$B$42=0,3&gt;(Inputs!$B$42*12)),0,'Break-even'!$B$20-D32)</f>
        <v/>
      </c>
      <c r="E33" s="17">
        <f>IF(OR(Inputs!$B$40=0,Inputs!$B$42=0,4&gt;(Inputs!$B$42*12)),0,'Break-even'!$B$20-E32)</f>
        <v/>
      </c>
      <c r="F33" s="17">
        <f>IF(OR(Inputs!$B$40=0,Inputs!$B$42=0,5&gt;(Inputs!$B$42*12)),0,'Break-even'!$B$20-F32)</f>
        <v/>
      </c>
      <c r="G33" s="17">
        <f>IF(OR(Inputs!$B$40=0,Inputs!$B$42=0,6&gt;(Inputs!$B$42*12)),0,'Break-even'!$B$20-G32)</f>
        <v/>
      </c>
      <c r="H33" s="17">
        <f>IF(OR(Inputs!$B$40=0,Inputs!$B$42=0,7&gt;(Inputs!$B$42*12)),0,'Break-even'!$B$20-H32)</f>
        <v/>
      </c>
      <c r="I33" s="17">
        <f>IF(OR(Inputs!$B$40=0,Inputs!$B$42=0,8&gt;(Inputs!$B$42*12)),0,'Break-even'!$B$20-I32)</f>
        <v/>
      </c>
      <c r="J33" s="17">
        <f>IF(OR(Inputs!$B$40=0,Inputs!$B$42=0,9&gt;(Inputs!$B$42*12)),0,'Break-even'!$B$20-J32)</f>
        <v/>
      </c>
      <c r="K33" s="17">
        <f>IF(OR(Inputs!$B$40=0,Inputs!$B$42=0,10&gt;(Inputs!$B$42*12)),0,'Break-even'!$B$20-K32)</f>
        <v/>
      </c>
      <c r="L33" s="17">
        <f>IF(OR(Inputs!$B$40=0,Inputs!$B$42=0,11&gt;(Inputs!$B$42*12)),0,'Break-even'!$B$20-L32)</f>
        <v/>
      </c>
      <c r="M33" s="17">
        <f>IF(OR(Inputs!$B$40=0,Inputs!$B$42=0,12&gt;(Inputs!$B$42*12)),0,'Break-even'!$B$20-M32)</f>
        <v/>
      </c>
      <c r="N33" s="18">
        <f>SUM(B33:M33)</f>
        <v/>
      </c>
    </row>
    <row r="34">
      <c r="A34" s="19" t="inlineStr">
        <is>
          <t>Net cash flow after loan repayments</t>
        </is>
      </c>
      <c r="B34" s="20">
        <f>B30-B32-B33</f>
        <v/>
      </c>
      <c r="C34" s="20">
        <f>C30-C32-C33</f>
        <v/>
      </c>
      <c r="D34" s="20">
        <f>D30-D32-D33</f>
        <v/>
      </c>
      <c r="E34" s="20">
        <f>E30-E32-E33</f>
        <v/>
      </c>
      <c r="F34" s="20">
        <f>F30-F32-F33</f>
        <v/>
      </c>
      <c r="G34" s="20">
        <f>G30-G32-G33</f>
        <v/>
      </c>
      <c r="H34" s="20">
        <f>H30-H32-H33</f>
        <v/>
      </c>
      <c r="I34" s="20">
        <f>I30-I32-I33</f>
        <v/>
      </c>
      <c r="J34" s="20">
        <f>J30-J32-J33</f>
        <v/>
      </c>
      <c r="K34" s="20">
        <f>K30-K32-K33</f>
        <v/>
      </c>
      <c r="L34" s="20">
        <f>L30-L32-L33</f>
        <v/>
      </c>
      <c r="M34" s="20">
        <f>M30-M32-M33</f>
        <v/>
      </c>
      <c r="N34" s="18">
        <f>SUM(B34:M34)</f>
        <v/>
      </c>
    </row>
    <row r="36">
      <c r="A36" t="inlineStr">
        <is>
          <t>Cash at start of trading (funding less capital)</t>
        </is>
      </c>
      <c r="B36" s="17">
        <f>'Break-even'!$B$40</f>
        <v/>
      </c>
      <c r="C36" s="21" t="inlineStr">
        <is>
          <t>Funding in place minus total capital required (Break-even sheet). Includes your working-capital reserve.</t>
        </is>
      </c>
    </row>
    <row r="37">
      <c r="A37" s="19" t="inlineStr">
        <is>
          <t>Cumulative cash</t>
        </is>
      </c>
      <c r="B37" s="20">
        <f>$B$36+B34</f>
        <v/>
      </c>
      <c r="C37" s="20">
        <f>B37+C34</f>
        <v/>
      </c>
      <c r="D37" s="20">
        <f>C37+D34</f>
        <v/>
      </c>
      <c r="E37" s="20">
        <f>D37+E34</f>
        <v/>
      </c>
      <c r="F37" s="20">
        <f>E37+F34</f>
        <v/>
      </c>
      <c r="G37" s="20">
        <f>F37+G34</f>
        <v/>
      </c>
      <c r="H37" s="20">
        <f>G37+H34</f>
        <v/>
      </c>
      <c r="I37" s="20">
        <f>H37+I34</f>
        <v/>
      </c>
      <c r="J37" s="20">
        <f>I37+J34</f>
        <v/>
      </c>
      <c r="K37" s="20">
        <f>J37+K34</f>
        <v/>
      </c>
      <c r="L37" s="20">
        <f>K37+L34</f>
        <v/>
      </c>
      <c r="M37" s="20">
        <f>L37+M34</f>
        <v/>
      </c>
      <c r="N37" s="18">
        <f>M37</f>
        <v/>
      </c>
    </row>
    <row r="39">
      <c r="A39" s="19" t="inlineStr">
        <is>
          <t>Lowest cumulative cash in year 1</t>
        </is>
      </c>
      <c r="B39" s="20">
        <f>MIN(B37:M37)</f>
        <v/>
      </c>
      <c r="C39" s="21" t="inlineStr">
        <is>
          <t>If this is negative, the plan runs out of cash in a trough. Raise more funding or cut the cost base.</t>
        </is>
      </c>
    </row>
  </sheetData>
  <mergeCells count="1">
    <mergeCell ref="A2:N2"/>
  </mergeCells>
  <dataValidations count="2">
    <dataValidation sqref="B7:M7" showDropDown="0" showInputMessage="0" showErrorMessage="0" allowBlank="1" type="decimal" operator="between">
      <formula1>0</formula1>
      <formula2>2</formula2>
    </dataValidation>
    <dataValidation sqref="B6:M6" showDropDown="0" showInputMessage="0" showErrorMessage="0" allowBlank="1" type="decimal" operator="greaterThanOrEqual">
      <formula1>0</formula1>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F49"/>
  <sheetViews>
    <sheetView workbookViewId="0">
      <pane ySplit="3" topLeftCell="A4" activePane="bottomLeft" state="frozen"/>
      <selection pane="bottomLeft" activeCell="A1" sqref="A1"/>
    </sheetView>
  </sheetViews>
  <sheetFormatPr baseColWidth="8" defaultRowHeight="15"/>
  <cols>
    <col width="52" customWidth="1" min="1" max="1"/>
    <col width="18" customWidth="1" min="2" max="2"/>
    <col width="60" customWidth="1" min="3" max="3"/>
    <col width="18" customWidth="1" min="4" max="4"/>
    <col width="18" customWidth="1" min="5" max="5"/>
  </cols>
  <sheetData>
    <row r="1">
      <c r="A1" s="1" t="inlineStr">
        <is>
          <t>Break-even, cross-check and sensitivity</t>
        </is>
      </c>
    </row>
    <row r="2">
      <c r="A2" s="21" t="inlineStr">
        <is>
          <t>Steady-state figures (no seasonality or ramp-up). All cells calculate from the Inputs sheet; nothing to fill here.</t>
        </is>
      </c>
    </row>
    <row r="3">
      <c r="A3" s="3" t="inlineStr">
        <is>
          <t>Measure</t>
        </is>
      </c>
      <c r="B3" s="3" t="inlineStr">
        <is>
          <t>Value</t>
        </is>
      </c>
      <c r="C3" s="3" t="inlineStr">
        <is>
          <t>How it is calculated</t>
        </is>
      </c>
    </row>
    <row r="5">
      <c r="A5" s="4" t="inlineStr">
        <is>
          <t>Admissions forecast and cross-check</t>
        </is>
      </c>
      <c r="B5" s="5" t="n"/>
      <c r="C5" s="5" t="n"/>
    </row>
    <row r="6">
      <c r="A6" s="22" t="inlineStr">
        <is>
          <t>Seats available per year</t>
        </is>
      </c>
      <c r="B6" s="17">
        <f>(Inputs!$B$6*Inputs!$B$7*Inputs!$B$8*Inputs!$B$9)</f>
        <v/>
      </c>
      <c r="C6" s="21" t="inlineStr">
        <is>
          <t>Screens x seats x operating days x shows per day.</t>
        </is>
      </c>
    </row>
    <row r="7">
      <c r="A7" s="22" t="inlineStr">
        <is>
          <t>Capacity forecast: annual admissions</t>
        </is>
      </c>
      <c r="B7" s="17">
        <f>$B$6*Inputs!$B$10</f>
        <v/>
      </c>
      <c r="C7" s="21" t="inlineStr">
        <is>
          <t>Seats available x average occupancy.</t>
        </is>
      </c>
    </row>
    <row r="8">
      <c r="A8" s="22" t="inlineStr">
        <is>
          <t>Catchment forecast: annual admissions</t>
        </is>
      </c>
      <c r="B8" s="17">
        <f>MAX(0,Inputs!$B$13*Inputs!$B$14-Inputs!$B$15)*Inputs!$B$16</f>
        <v/>
      </c>
      <c r="C8" s="21" t="inlineStr">
        <is>
          <t>(Population x admissions per person - competitor admissions) x your share.</t>
        </is>
      </c>
    </row>
    <row r="9">
      <c r="A9" s="22" t="inlineStr">
        <is>
          <t>Implied occupancy of the catchment forecast</t>
        </is>
      </c>
      <c r="B9" s="23">
        <f>IFERROR($B$8/$B$6,0)</f>
        <v/>
      </c>
      <c r="C9" s="21" t="inlineStr">
        <is>
          <t>If this is far above your occupancy input, one of the two forecasts is wrong.</t>
        </is>
      </c>
    </row>
    <row r="10">
      <c r="A10" s="19" t="inlineStr">
        <is>
          <t>Forecast used in the model (annual admissions)</t>
        </is>
      </c>
      <c r="B10" s="20">
        <f>IF(Inputs!$B$17="capacity",$B$7,IF(Inputs!$B$17="catchment",$B$8,IF($B$8&gt;0,$B$8,$B$7)))</f>
        <v/>
      </c>
      <c r="C10" s="21" t="inlineStr">
        <is>
          <t>Set by 'Admissions forecast that drives the P&amp;L' on Inputs.</t>
        </is>
      </c>
    </row>
    <row r="12">
      <c r="A12" s="4" t="inlineStr">
        <is>
          <t>Contribution per admission</t>
        </is>
      </c>
      <c r="B12" s="5" t="n"/>
      <c r="C12" s="5" t="n"/>
    </row>
    <row r="13">
      <c r="A13" s="22" t="inlineStr">
        <is>
          <t>Ticket revenue kept after film rental</t>
        </is>
      </c>
      <c r="B13" s="24">
        <f>Inputs!$B$20*(1-Inputs!$B$25)</f>
        <v/>
      </c>
      <c r="C13" s="21" t="n"/>
    </row>
    <row r="14">
      <c r="A14" s="22" t="inlineStr">
        <is>
          <t>Concession margin after cost of goods</t>
        </is>
      </c>
      <c r="B14" s="24">
        <f>Inputs!$B$21*(1-Inputs!$B$26)</f>
        <v/>
      </c>
      <c r="C14" s="21" t="n"/>
    </row>
    <row r="15">
      <c r="A15" s="22" t="inlineStr">
        <is>
          <t>Less per-ticket fee and card processing</t>
        </is>
      </c>
      <c r="B15" s="24">
        <f>-Inputs!$B$27-Inputs!$B$28*(Inputs!$B$20+Inputs!$B$21)</f>
        <v/>
      </c>
      <c r="C15" s="21" t="n"/>
    </row>
    <row r="16">
      <c r="A16" s="19" t="inlineStr">
        <is>
          <t>Contribution per admission</t>
        </is>
      </c>
      <c r="B16" s="25">
        <f>$B$13+$B$14+$B$15</f>
        <v/>
      </c>
      <c r="C16" s="21" t="inlineStr">
        <is>
          <t>What each extra customer adds towards fixed costs.</t>
        </is>
      </c>
    </row>
    <row r="18">
      <c r="A18" s="4" t="inlineStr">
        <is>
          <t>Monthly fixed costs and debt service</t>
        </is>
      </c>
      <c r="B18" s="5" t="n"/>
      <c r="C18" s="5" t="n"/>
    </row>
    <row r="19">
      <c r="A19" s="22" t="inlineStr">
        <is>
          <t>Fixed operating costs per month</t>
        </is>
      </c>
      <c r="B19" s="17">
        <f>(Inputs!$B$31+Inputs!$B$32+Inputs!$B$33+Inputs!$B$34+Inputs!$B$35+Inputs!$B$36)</f>
        <v/>
      </c>
      <c r="C19" s="21" t="inlineStr">
        <is>
          <t>Section 5 of Inputs.</t>
        </is>
      </c>
    </row>
    <row r="20">
      <c r="A20" s="22" t="inlineStr">
        <is>
          <t>Loan repayment per month (interest + principal)</t>
        </is>
      </c>
      <c r="B20" s="17">
        <f>IF(OR(Inputs!$B$40=0,Inputs!$B$42=0),0,IF(Inputs!$B$41=0,Inputs!$B$40/(Inputs!$B$42*12),PMT(Inputs!$B$41/12,Inputs!$B$42*12,-Inputs!$B$40)))</f>
        <v/>
      </c>
      <c r="C20" s="21" t="inlineStr">
        <is>
          <t>Level monthly repayment over the loan term.</t>
        </is>
      </c>
    </row>
    <row r="21">
      <c r="A21" s="22" t="inlineStr">
        <is>
          <t>Other revenue per month</t>
        </is>
      </c>
      <c r="B21" s="17">
        <f>Inputs!$B$22</f>
        <v/>
      </c>
      <c r="C21" s="21" t="inlineStr">
        <is>
          <t>Offsets fixed costs.</t>
        </is>
      </c>
    </row>
    <row r="22">
      <c r="A22" s="19" t="inlineStr">
        <is>
          <t>Net monthly amount to cover from admissions</t>
        </is>
      </c>
      <c r="B22" s="20">
        <f>$B$19+$B$20-$B$21</f>
        <v/>
      </c>
      <c r="C22" s="21" t="n"/>
    </row>
    <row r="24">
      <c r="A24" s="4" t="inlineStr">
        <is>
          <t>Break-even</t>
        </is>
      </c>
      <c r="B24" s="5" t="n"/>
      <c r="C24" s="5" t="n"/>
    </row>
    <row r="25">
      <c r="A25" s="19" t="inlineStr">
        <is>
          <t>Break-even admissions per month</t>
        </is>
      </c>
      <c r="B25" s="20">
        <f>IFERROR($B$22/$B$16,0)</f>
        <v/>
      </c>
      <c r="C25" s="21" t="inlineStr">
        <is>
          <t>Covers fixed costs and loan repayments.</t>
        </is>
      </c>
    </row>
    <row r="26">
      <c r="A26" s="22" t="inlineStr">
        <is>
          <t>Break-even admissions per year</t>
        </is>
      </c>
      <c r="B26" s="17">
        <f>$B$25*12</f>
        <v/>
      </c>
      <c r="C26" s="21" t="n"/>
    </row>
    <row r="27">
      <c r="A27" s="22" t="inlineStr">
        <is>
          <t>Break-even admissions per operating day</t>
        </is>
      </c>
      <c r="B27" s="17">
        <f>IFERROR($B$26/Inputs!$B$8,0)</f>
        <v/>
      </c>
      <c r="C27" s="21" t="n"/>
    </row>
    <row r="28">
      <c r="A28" s="22" t="inlineStr">
        <is>
          <t>Break-even admissions per show</t>
        </is>
      </c>
      <c r="B28" s="26">
        <f>IFERROR($B$27/(Inputs!$B$6*Inputs!$B$9),0)</f>
        <v/>
      </c>
      <c r="C28" s="21" t="n"/>
    </row>
    <row r="29">
      <c r="A29" s="19" t="inlineStr">
        <is>
          <t>Break-even occupancy</t>
        </is>
      </c>
      <c r="B29" s="27">
        <f>IFERROR($B$28/Inputs!$B$7,0)</f>
        <v/>
      </c>
      <c r="C29" s="21" t="inlineStr">
        <is>
          <t>Compare with your occupancy input and the implied occupancy above.</t>
        </is>
      </c>
    </row>
    <row r="30">
      <c r="A30" s="19" t="inlineStr">
        <is>
          <t>Margin of safety (forecast above break-even)</t>
        </is>
      </c>
      <c r="B30" s="27">
        <f>IFERROR($B$10/$B$26-1,0)</f>
        <v/>
      </c>
      <c r="C30" s="21" t="inlineStr">
        <is>
          <t>How far admissions can fall before you stop covering costs and debt.</t>
        </is>
      </c>
    </row>
    <row r="32">
      <c r="A32" s="4" t="inlineStr">
        <is>
          <t>Steady-state year</t>
        </is>
      </c>
      <c r="B32" s="5" t="n"/>
      <c r="C32" s="5" t="n"/>
    </row>
    <row r="33">
      <c r="A33" s="22" t="inlineStr">
        <is>
          <t>Annual revenue</t>
        </is>
      </c>
      <c r="B33" s="17">
        <f>$B$10*(Inputs!$B$20+Inputs!$B$21)+12*$B$21</f>
        <v/>
      </c>
      <c r="C33" s="21" t="n"/>
    </row>
    <row r="34">
      <c r="A34" s="22" t="inlineStr">
        <is>
          <t>Annual EBITDA</t>
        </is>
      </c>
      <c r="B34" s="17">
        <f>$B$10*$B$16+12*($B$21-$B$19)</f>
        <v/>
      </c>
      <c r="C34" s="21" t="inlineStr">
        <is>
          <t>Before interest, tax, depreciation.</t>
        </is>
      </c>
    </row>
    <row r="35">
      <c r="A35" s="19" t="inlineStr">
        <is>
          <t>Annual cash after loan repayments</t>
        </is>
      </c>
      <c r="B35" s="20">
        <f>$B$34-12*$B$20</f>
        <v/>
      </c>
      <c r="C35" s="21" t="n"/>
    </row>
    <row r="37">
      <c r="A37" s="4" t="inlineStr">
        <is>
          <t>Capital and funding</t>
        </is>
      </c>
      <c r="B37" s="5" t="n"/>
      <c r="C37" s="5" t="n"/>
    </row>
    <row r="38">
      <c r="A38" s="19" t="inlineStr">
        <is>
          <t>Total capital required</t>
        </is>
      </c>
      <c r="B38" s="20">
        <f>Inputs!$B$45+Inputs!$B$46+Inputs!$B$47+Inputs!$B$48+Inputs!$B$49+Inputs!$B$50+Inputs!$B$51+Inputs!$B$52+Inputs!$B$53+Inputs!$B$54+Inputs!$B$55+Inputs!$B$56+Inputs!$B$57+Inputs!$B$58+Inputs!$B$59+Inputs!$B$60+Inputs!$B$61</f>
        <v/>
      </c>
      <c r="C38" s="21" t="inlineStr">
        <is>
          <t>Sum of section 7 of Inputs.</t>
        </is>
      </c>
    </row>
    <row r="39">
      <c r="A39" s="22" t="inlineStr">
        <is>
          <t>Funding in place</t>
        </is>
      </c>
      <c r="B39" s="17">
        <f>Inputs!$B$39+Inputs!$B$40</f>
        <v/>
      </c>
      <c r="C39" s="21" t="inlineStr">
        <is>
          <t>Equity, grants and loan.</t>
        </is>
      </c>
    </row>
    <row r="40">
      <c r="A40" s="19" t="inlineStr">
        <is>
          <t>Funding surplus (shortfall if negative)</t>
        </is>
      </c>
      <c r="B40" s="20">
        <f>$B$39-$B$38</f>
        <v/>
      </c>
      <c r="C40" s="21" t="n"/>
    </row>
    <row r="41">
      <c r="A41" s="22" t="inlineStr">
        <is>
          <t>Simple payback, years</t>
        </is>
      </c>
      <c r="B41" s="28">
        <f>IFERROR(IF($B$34&gt;0,$B$38/$B$34,0),0)</f>
        <v/>
      </c>
      <c r="C41" s="21" t="inlineStr">
        <is>
          <t>Total capital divided by steady-state EBITDA. Zero means it does not pay back.</t>
        </is>
      </c>
    </row>
    <row r="43">
      <c r="A43" s="4" t="inlineStr">
        <is>
          <t>Sensitivity: annual cash after loan repayments</t>
        </is>
      </c>
      <c r="B43" s="5" t="n"/>
      <c r="C43" s="5" t="n"/>
      <c r="D43" s="5" t="n"/>
      <c r="E43" s="5" t="n"/>
      <c r="F43" s="5" t="n"/>
    </row>
    <row r="44">
      <c r="A44" s="21" t="inlineStr">
        <is>
          <t>Admissions (rows) and spend per head (columns) as a share of your forecast. Lenders expect at least the 80% admissions case.</t>
        </is>
      </c>
    </row>
    <row r="45">
      <c r="A45" s="19" t="inlineStr">
        <is>
          <t>Admissions ↓ / Spend per head →</t>
        </is>
      </c>
      <c r="B45" s="29" t="n">
        <v>0.8</v>
      </c>
      <c r="C45" s="29" t="n">
        <v>0.9</v>
      </c>
      <c r="D45" s="29" t="n">
        <v>1</v>
      </c>
      <c r="E45" s="29" t="n">
        <v>1.1</v>
      </c>
    </row>
    <row r="46">
      <c r="A46" s="30" t="n">
        <v>0.8</v>
      </c>
      <c r="B46" s="17">
        <f>($A46*$B$10)*(Inputs!$B$20*(1-Inputs!$B$25)+B$45*Inputs!$B$21*(1-Inputs!$B$26)-Inputs!$B$27-Inputs!$B$28*(Inputs!$B$20+B$45*Inputs!$B$21))+12*($B$21-$B$19-$B$20)</f>
        <v/>
      </c>
      <c r="C46" s="17">
        <f>($A46*$B$10)*(Inputs!$B$20*(1-Inputs!$B$25)+C$45*Inputs!$B$21*(1-Inputs!$B$26)-Inputs!$B$27-Inputs!$B$28*(Inputs!$B$20+C$45*Inputs!$B$21))+12*($B$21-$B$19-$B$20)</f>
        <v/>
      </c>
      <c r="D46" s="17">
        <f>($A46*$B$10)*(Inputs!$B$20*(1-Inputs!$B$25)+D$45*Inputs!$B$21*(1-Inputs!$B$26)-Inputs!$B$27-Inputs!$B$28*(Inputs!$B$20+D$45*Inputs!$B$21))+12*($B$21-$B$19-$B$20)</f>
        <v/>
      </c>
      <c r="E46" s="17">
        <f>($A46*$B$10)*(Inputs!$B$20*(1-Inputs!$B$25)+E$45*Inputs!$B$21*(1-Inputs!$B$26)-Inputs!$B$27-Inputs!$B$28*(Inputs!$B$20+E$45*Inputs!$B$21))+12*($B$21-$B$19-$B$20)</f>
        <v/>
      </c>
    </row>
    <row r="47">
      <c r="A47" s="30" t="n">
        <v>0.9</v>
      </c>
      <c r="B47" s="17">
        <f>($A47*$B$10)*(Inputs!$B$20*(1-Inputs!$B$25)+B$45*Inputs!$B$21*(1-Inputs!$B$26)-Inputs!$B$27-Inputs!$B$28*(Inputs!$B$20+B$45*Inputs!$B$21))+12*($B$21-$B$19-$B$20)</f>
        <v/>
      </c>
      <c r="C47" s="17">
        <f>($A47*$B$10)*(Inputs!$B$20*(1-Inputs!$B$25)+C$45*Inputs!$B$21*(1-Inputs!$B$26)-Inputs!$B$27-Inputs!$B$28*(Inputs!$B$20+C$45*Inputs!$B$21))+12*($B$21-$B$19-$B$20)</f>
        <v/>
      </c>
      <c r="D47" s="17">
        <f>($A47*$B$10)*(Inputs!$B$20*(1-Inputs!$B$25)+D$45*Inputs!$B$21*(1-Inputs!$B$26)-Inputs!$B$27-Inputs!$B$28*(Inputs!$B$20+D$45*Inputs!$B$21))+12*($B$21-$B$19-$B$20)</f>
        <v/>
      </c>
      <c r="E47" s="17">
        <f>($A47*$B$10)*(Inputs!$B$20*(1-Inputs!$B$25)+E$45*Inputs!$B$21*(1-Inputs!$B$26)-Inputs!$B$27-Inputs!$B$28*(Inputs!$B$20+E$45*Inputs!$B$21))+12*($B$21-$B$19-$B$20)</f>
        <v/>
      </c>
    </row>
    <row r="48">
      <c r="A48" s="30" t="n">
        <v>1</v>
      </c>
      <c r="B48" s="17">
        <f>($A48*$B$10)*(Inputs!$B$20*(1-Inputs!$B$25)+B$45*Inputs!$B$21*(1-Inputs!$B$26)-Inputs!$B$27-Inputs!$B$28*(Inputs!$B$20+B$45*Inputs!$B$21))+12*($B$21-$B$19-$B$20)</f>
        <v/>
      </c>
      <c r="C48" s="17">
        <f>($A48*$B$10)*(Inputs!$B$20*(1-Inputs!$B$25)+C$45*Inputs!$B$21*(1-Inputs!$B$26)-Inputs!$B$27-Inputs!$B$28*(Inputs!$B$20+C$45*Inputs!$B$21))+12*($B$21-$B$19-$B$20)</f>
        <v/>
      </c>
      <c r="D48" s="17">
        <f>($A48*$B$10)*(Inputs!$B$20*(1-Inputs!$B$25)+D$45*Inputs!$B$21*(1-Inputs!$B$26)-Inputs!$B$27-Inputs!$B$28*(Inputs!$B$20+D$45*Inputs!$B$21))+12*($B$21-$B$19-$B$20)</f>
        <v/>
      </c>
      <c r="E48" s="17">
        <f>($A48*$B$10)*(Inputs!$B$20*(1-Inputs!$B$25)+E$45*Inputs!$B$21*(1-Inputs!$B$26)-Inputs!$B$27-Inputs!$B$28*(Inputs!$B$20+E$45*Inputs!$B$21))+12*($B$21-$B$19-$B$20)</f>
        <v/>
      </c>
    </row>
    <row r="49">
      <c r="A49" s="30" t="n">
        <v>1.1</v>
      </c>
      <c r="B49" s="17">
        <f>($A49*$B$10)*(Inputs!$B$20*(1-Inputs!$B$25)+B$45*Inputs!$B$21*(1-Inputs!$B$26)-Inputs!$B$27-Inputs!$B$28*(Inputs!$B$20+B$45*Inputs!$B$21))+12*($B$21-$B$19-$B$20)</f>
        <v/>
      </c>
      <c r="C49" s="17">
        <f>($A49*$B$10)*(Inputs!$B$20*(1-Inputs!$B$25)+C$45*Inputs!$B$21*(1-Inputs!$B$26)-Inputs!$B$27-Inputs!$B$28*(Inputs!$B$20+C$45*Inputs!$B$21))+12*($B$21-$B$19-$B$20)</f>
        <v/>
      </c>
      <c r="D49" s="17">
        <f>($A49*$B$10)*(Inputs!$B$20*(1-Inputs!$B$25)+D$45*Inputs!$B$21*(1-Inputs!$B$26)-Inputs!$B$27-Inputs!$B$28*(Inputs!$B$20+D$45*Inputs!$B$21))+12*($B$21-$B$19-$B$20)</f>
        <v/>
      </c>
      <c r="E49" s="17">
        <f>($A49*$B$10)*(Inputs!$B$20*(1-Inputs!$B$25)+E$45*Inputs!$B$21*(1-Inputs!$B$26)-Inputs!$B$27-Inputs!$B$28*(Inputs!$B$20+E$45*Inputs!$B$21))+12*($B$21-$B$19-$B$20)</f>
        <v/>
      </c>
    </row>
  </sheetData>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C29"/>
  <sheetViews>
    <sheetView workbookViewId="0">
      <pane ySplit="2" topLeftCell="A3" activePane="bottomLeft" state="frozen"/>
      <selection pane="bottomLeft" activeCell="A1" sqref="A1"/>
    </sheetView>
  </sheetViews>
  <sheetFormatPr baseColWidth="8" defaultRowHeight="15"/>
  <cols>
    <col width="44" customWidth="1" min="1" max="1"/>
    <col width="90" customWidth="1" min="2" max="2"/>
    <col width="60" customWidth="1" min="3" max="3"/>
  </cols>
  <sheetData>
    <row r="1">
      <c r="A1" s="1" t="inlineStr">
        <is>
          <t>Notes &amp; sources</t>
        </is>
      </c>
    </row>
    <row r="3">
      <c r="A3" s="4" t="inlineStr">
        <is>
          <t>How to use</t>
        </is>
      </c>
      <c r="B3" s="5" t="n"/>
      <c r="C3" s="5" t="n"/>
    </row>
    <row r="4">
      <c r="A4" t="inlineStr">
        <is>
          <t>1</t>
        </is>
      </c>
      <c r="B4" s="2" t="inlineStr">
        <is>
          <t>Fill every yellow cell on Inputs, then the seasonality and ramp-up rows on Monthly P&amp;L. Nothing else needs typing.</t>
        </is>
      </c>
    </row>
    <row r="5">
      <c r="A5" t="inlineStr">
        <is>
          <t>2</t>
        </is>
      </c>
      <c r="B5" s="2" t="inlineStr">
        <is>
          <t>Enter money in your own currency, net of sales tax or VAT. Type percentages with a % sign.</t>
        </is>
      </c>
    </row>
    <row r="6">
      <c r="A6" t="inlineStr">
        <is>
          <t>3</t>
        </is>
      </c>
      <c r="B6" s="2" t="inlineStr">
        <is>
          <t>No example numbers are pre-filled. Every assumption in your plan should be yours, from your own quotes and data.</t>
        </is>
      </c>
    </row>
    <row r="7">
      <c r="A7" t="inlineStr">
        <is>
          <t>4</t>
        </is>
      </c>
      <c r="B7" s="2" t="inlineStr">
        <is>
          <t>Build admissions from the catchment (Inputs section 2), then check the implied occupancy on the Break-even sheet against your occupancy input. If they disagree badly, one of them is wrong.</t>
        </is>
      </c>
    </row>
    <row r="8">
      <c r="A8" t="inlineStr">
        <is>
          <t>5</t>
        </is>
      </c>
      <c r="B8" s="2" t="inlineStr">
        <is>
          <t>Seasonality and ramp-up matter more than the annual total: a site that is profitable over the year can still run out of cash in a slow month. Watch 'Lowest cumulative cash in year 1'.</t>
        </is>
      </c>
    </row>
    <row r="9">
      <c r="A9" t="inlineStr">
        <is>
          <t>6</t>
        </is>
      </c>
      <c r="B9" s="2" t="inlineStr">
        <is>
          <t>Run the 80% admissions row of the sensitivity grid before a lender asks for it.</t>
        </is>
      </c>
    </row>
    <row r="10">
      <c r="A10" t="inlineStr">
        <is>
          <t>7</t>
        </is>
      </c>
      <c r="B10" s="2" t="inlineStr">
        <is>
          <t>The model is deliberately simple: a blended film rental rate, no tax, no depreciation, level loan repayments. Rental is really highest in a film's opening weeks; if your programme is weighted to new releases, use a higher blended rate.</t>
        </is>
      </c>
    </row>
    <row r="11">
      <c r="A11" s="4" t="inlineStr">
        <is>
          <t>The four numbers</t>
        </is>
      </c>
      <c r="B11" s="5" t="n"/>
      <c r="C11" s="5" t="n"/>
    </row>
    <row r="12">
      <c r="A12" t="inlineStr"/>
      <c r="B12" s="2" t="inlineStr">
        <is>
          <t>Admissions, average ticket price, spend per head and film rental rate. They multiply, so one optimistic number makes the whole model optimistic. See https://filmgrail.com/blog/cinema-business-plan/</t>
        </is>
      </c>
    </row>
    <row r="13">
      <c r="A13" s="4" t="inlineStr">
        <is>
          <t>Appendix checklist (from the Filmgrail business-plan guide)</t>
        </is>
      </c>
      <c r="B13" s="5" t="n"/>
      <c r="C13" s="5" t="n"/>
    </row>
    <row r="14">
      <c r="A14" t="inlineStr"/>
      <c r="B14" s="2" t="inlineStr">
        <is>
          <t>Catchment calculation with its population source; competitor sites and the share assumption; quotes for the three largest capital lines (build, projection and sound, seating); licensing position; lease heads of terms; sensitivity at 80% of forecast.</t>
        </is>
      </c>
    </row>
    <row r="15">
      <c r="A15" s="4" t="inlineStr">
        <is>
          <t>Benchmarks used in the Inputs notes</t>
        </is>
      </c>
      <c r="B15" s="5" t="n"/>
      <c r="C15" s="5" t="n"/>
    </row>
    <row r="16">
      <c r="A16" s="3" t="inlineStr">
        <is>
          <t>Source</t>
        </is>
      </c>
      <c r="B16" s="3" t="inlineStr">
        <is>
          <t>What it says</t>
        </is>
      </c>
      <c r="C16" s="3" t="inlineStr">
        <is>
          <t>URL</t>
        </is>
      </c>
    </row>
    <row r="17">
      <c r="A17" s="2" t="inlineStr">
        <is>
          <t>AMC Entertainment Holdings, Form 10-K for 2025 (SEC)</t>
        </is>
      </c>
      <c r="B17" s="2" t="inlineStr">
        <is>
          <t>US film exhibition costs 51.2% of admissions revenue, total 48.1%; US food and beverage costs 18.1% of F&amp;B revenue, total 19.6%; F&amp;B per patron US $8.57 (2024: $8.30), international $5.28 (2024: $4.80).</t>
        </is>
      </c>
      <c r="C17" s="7" t="inlineStr">
        <is>
          <t>https://www.sec.gov/Archives/edgar/data/1411579/000141157926000016/amc-20251231x10k.htm</t>
        </is>
      </c>
    </row>
    <row r="18">
      <c r="A18" s="2" t="inlineStr">
        <is>
          <t>Cinemark Holdings, Form 10-K for 2025 (SEC)</t>
        </is>
      </c>
      <c r="B18" s="2" t="inlineStr">
        <is>
          <t>US film rentals and advertising 58.0% of admissions revenue; concession supplies 18.9% of concession revenue; US average ticket price $10.52; US concession revenue per patron $8.30; international $3.15 as reported.</t>
        </is>
      </c>
      <c r="C18" s="7" t="inlineStr">
        <is>
          <t>https://www.sec.gov/Archives/edgar/data/1385280/000119312526056015/cnk-20251231.htm</t>
        </is>
      </c>
    </row>
    <row r="19">
      <c r="A19" s="2" t="inlineStr">
        <is>
          <t>AMC Entertainment Holdings, Form 10-K for 2013 (SEC)</t>
        </is>
      </c>
      <c r="B19" s="2" t="inlineStr">
        <is>
          <t>Full recliner renovations typically involved losing 64% of seating capacity.</t>
        </is>
      </c>
      <c r="C19" s="7" t="inlineStr">
        <is>
          <t>https://www.sec.gov/Archives/edgar/data/1411579/000104746914001769/a2218535z10-k.htm</t>
        </is>
      </c>
    </row>
    <row r="20">
      <c r="A20" s="2" t="inlineStr">
        <is>
          <t>Cinema United, Cinema Investment Report, September 2025</t>
        </is>
      </c>
      <c r="B20" s="2" t="inlineStr">
        <is>
          <t>Cost ranges: $40M-$50M ground-up cinema entertainment centre; $65K-$110K new digital projector; $30K-$145K sound system per auditorium; $12K-$100K new screen per auditorium; $1M for 1,000 seats installed; $150K-$750K kitchen; $150K-$1M full-service bar; B&amp;B Theatres Joplin (7 screens) $20M to build and open.</t>
        </is>
      </c>
      <c r="C20" s="7" t="inlineStr">
        <is>
          <t>https://cinemaunited.org/wp-content/uploads/2025/09/Cinema-United-Cinema-Investment-Report-September-16-2025.pdf</t>
        </is>
      </c>
    </row>
    <row r="21">
      <c r="A21" s="2" t="inlineStr">
        <is>
          <t>UK Find a Tender, contract award notice 048421-2025 (British Film Institute)</t>
        </is>
      </c>
      <c r="B21" s="2" t="inlineStr">
        <is>
          <t>One Christie CP4415-RGB laser projector and one high-contrast lens: GBP 47,995 excluding VAT, GBP 57,594 including VAT, awarded 13 August 2025.</t>
        </is>
      </c>
      <c r="C21" s="7" t="inlineStr">
        <is>
          <t>https://www.find-tender.service.gov.uk/Notice/048421-2025</t>
        </is>
      </c>
    </row>
    <row r="22">
      <c r="A22" s="2" t="inlineStr">
        <is>
          <t>Pavilion Theatre Management Company CLG, 4K Cinema Projector tender (May 2026)</t>
        </is>
      </c>
      <c r="B22" s="2" t="inlineStr">
        <is>
          <t>Replacement 4K digital cinema system incl. projector, cooled booth, server, audio processor: estimated value EUR 140,000.</t>
        </is>
      </c>
      <c r="C22" s="7" t="inlineStr">
        <is>
          <t>https://app.mercell.com/tender/208433156/4K-Cinema-Projector</t>
        </is>
      </c>
    </row>
    <row r="23">
      <c r="A23" s="2" t="inlineStr">
        <is>
          <t>Irwin Seating Company, Region 4 ESC contract R191805 price list (2020)</t>
        </is>
      </c>
      <c r="B23" s="2" t="inlineStr">
        <is>
          <t>Fixed floor-mounted auditorium chairs about $174 to $818 per seat for orders of 750+. Public-sector auditorium prices, not cinema quotes.</t>
        </is>
      </c>
      <c r="C23" s="7" t="inlineStr">
        <is>
          <t>https://procurement.maricopa.edu/sites/default/files/purchasing/vendor_documents/R191805_Contract%20Document%20%285%29.pdf</t>
        </is>
      </c>
    </row>
    <row r="24">
      <c r="A24" s="2" t="inlineStr">
        <is>
          <t>Knowsley Council, Kirkby cinema scheme paused (20 Oct 2022)</t>
        </is>
      </c>
      <c r="B24" s="2" t="inlineStr">
        <is>
          <t>Costs rose by up to GBP 5m, almost double the original cost; scheme paused. Six screens, 34,000 sq ft per Place North West.</t>
        </is>
      </c>
      <c r="C24" s="7" t="inlineStr">
        <is>
          <t>https://www.knowsleynews.co.uk/kirkby-cinema-scheme-paused/</t>
        </is>
      </c>
    </row>
    <row r="25">
      <c r="A25" s="2" t="inlineStr">
        <is>
          <t>Place North West, Knowsley halts Kirkby cinema project (24 Oct 2022)</t>
        </is>
      </c>
      <c r="B25" s="2" t="inlineStr">
        <is>
          <t>Six-screen, three-storey, 34,000 sq ft scheme with three restaurants.</t>
        </is>
      </c>
      <c r="C25" s="7" t="inlineStr">
        <is>
          <t>https://www.placenorthwest.co.uk/knowsley-halts-kirkby-cinema-project-over-rising-costs/</t>
        </is>
      </c>
    </row>
    <row r="26">
      <c r="A26" s="2" t="inlineStr">
        <is>
          <t>Filmgrail, How to write a cinema business plan</t>
        </is>
      </c>
      <c r="B26" s="2" t="inlineStr">
        <is>
          <t>The four numbers, the occupancy cross-check and the appendix list.</t>
        </is>
      </c>
      <c r="C26" s="7" t="inlineStr">
        <is>
          <t>https://filmgrail.com/blog/cinema-business-plan/</t>
        </is>
      </c>
    </row>
    <row r="27">
      <c r="A27" s="2" t="inlineStr">
        <is>
          <t>Filmgrail, How much does it cost to open a movie theater?</t>
        </is>
      </c>
      <c r="B27" s="2" t="inlineStr">
        <is>
          <t>The cost blocks behind section 7 of Inputs.</t>
        </is>
      </c>
      <c r="C27" s="7" t="inlineStr">
        <is>
          <t>https://filmgrail.com/blog/cost-to-open-a-movie-theater/</t>
        </is>
      </c>
    </row>
    <row r="29">
      <c r="A29" s="19" t="inlineStr">
        <is>
          <t>Disclaimer</t>
        </is>
      </c>
      <c r="B29" s="2" t="inlineStr">
        <is>
          <t>A planning aid, not financial advice. Published figures are context from other markets and years; your plan should rest on your own local quotes. Template from filmgrail.com, free to use and adapt.</t>
        </is>
      </c>
    </row>
  </sheetData>
  <hyperlinks>
    <hyperlink xmlns:r="http://schemas.openxmlformats.org/officeDocument/2006/relationships" ref="C17" r:id="rId1"/>
    <hyperlink xmlns:r="http://schemas.openxmlformats.org/officeDocument/2006/relationships" ref="C18" r:id="rId2"/>
    <hyperlink xmlns:r="http://schemas.openxmlformats.org/officeDocument/2006/relationships" ref="C19" r:id="rId3"/>
    <hyperlink xmlns:r="http://schemas.openxmlformats.org/officeDocument/2006/relationships" ref="C20" r:id="rId4"/>
    <hyperlink xmlns:r="http://schemas.openxmlformats.org/officeDocument/2006/relationships" ref="C21" r:id="rId5"/>
    <hyperlink xmlns:r="http://schemas.openxmlformats.org/officeDocument/2006/relationships" ref="C22" r:id="rId6"/>
    <hyperlink xmlns:r="http://schemas.openxmlformats.org/officeDocument/2006/relationships" ref="C23" r:id="rId7"/>
    <hyperlink xmlns:r="http://schemas.openxmlformats.org/officeDocument/2006/relationships" ref="C24" r:id="rId8"/>
    <hyperlink xmlns:r="http://schemas.openxmlformats.org/officeDocument/2006/relationships" ref="C25" r:id="rId9"/>
    <hyperlink xmlns:r="http://schemas.openxmlformats.org/officeDocument/2006/relationships" ref="C26" r:id="rId10"/>
    <hyperlink xmlns:r="http://schemas.openxmlformats.org/officeDocument/2006/relationships" ref="C27" r:id="rId11"/>
  </hyperlink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2026-10-22T21:59:53Z</dcterms:created>
  <dcterms:modified xsi:type="dcterms:W3CDTF">2026-10-22T21:59:53Z</dcterms:modified>
</cp:coreProperties>
</file>